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12" windowWidth="15576" windowHeight="4872" tabRatio="887" activeTab="3"/>
  </bookViews>
  <sheets>
    <sheet name="C1 (Pág. 9)" sheetId="1" r:id="rId1"/>
    <sheet name="C1 (Pág. 10)" sheetId="2" r:id="rId2"/>
    <sheet name="C1 (Pág. 11)" sheetId="3" r:id="rId3"/>
    <sheet name="C2 (Pág. 12)" sheetId="4" r:id="rId4"/>
    <sheet name="C2 (Pág. 13)" sheetId="5" r:id="rId5"/>
    <sheet name="C2 (Pág . 14)" sheetId="6" r:id="rId6"/>
    <sheet name="C3 (Pág. 15)" sheetId="7" r:id="rId7"/>
    <sheet name="C3 (Pág. 16)" sheetId="8" r:id="rId8"/>
    <sheet name="C4 (Pág. 17)" sheetId="9" r:id="rId9"/>
    <sheet name="C4 (Pág. 18)" sheetId="10" r:id="rId10"/>
    <sheet name="C4 (Pág. 19)" sheetId="11" r:id="rId11"/>
    <sheet name="C4 (Pág. 20)" sheetId="12" r:id="rId12"/>
    <sheet name="C5 (Pág. 21)" sheetId="13" r:id="rId13"/>
    <sheet name="C5 (Pág. 22)" sheetId="14" r:id="rId14"/>
    <sheet name="C6 (Pág. 23)" sheetId="15" r:id="rId15"/>
    <sheet name="C7 (Pág. 24)gmf" sheetId="16" r:id="rId16"/>
    <sheet name="C7 (Pág. 24) (2)" sheetId="17" r:id="rId17"/>
    <sheet name="C7 (Pág. 25) gmf" sheetId="18" r:id="rId18"/>
    <sheet name="C7 (Pág. 25)" sheetId="19" r:id="rId19"/>
    <sheet name="PIB NACIONAL 2008" sheetId="20" r:id="rId20"/>
    <sheet name="PIB NACIONAL (2) 2008" sheetId="21" r:id="rId21"/>
    <sheet name="ipi nac" sheetId="22" r:id="rId22"/>
    <sheet name="PIB ESTATAL 2008" sheetId="23" r:id="rId23"/>
    <sheet name="ipi est" sheetId="24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k" localSheetId="16">'[2]93'!#REF!</definedName>
    <definedName name="\k" localSheetId="15">'[2]93'!#REF!</definedName>
    <definedName name="\k" localSheetId="18">'[2]93'!#REF!</definedName>
    <definedName name="\k" localSheetId="17">'[2]93'!#REF!</definedName>
    <definedName name="\k">'[2]93'!#REF!</definedName>
    <definedName name="\v" localSheetId="16">'[2]93'!#REF!</definedName>
    <definedName name="\v" localSheetId="15">'[2]93'!#REF!</definedName>
    <definedName name="\v" localSheetId="18">'[2]93'!#REF!</definedName>
    <definedName name="\v" localSheetId="17">'[2]93'!#REF!</definedName>
    <definedName name="\v">'[2]93'!#REF!</definedName>
    <definedName name="\z" localSheetId="16">'[2]93'!#REF!</definedName>
    <definedName name="\z" localSheetId="15">'[2]93'!#REF!</definedName>
    <definedName name="\z" localSheetId="18">'[2]93'!#REF!</definedName>
    <definedName name="\z" localSheetId="17">'[2]93'!#REF!</definedName>
    <definedName name="\z">'[2]93'!#REF!</definedName>
    <definedName name="_Fill" localSheetId="1" hidden="1">#REF!</definedName>
    <definedName name="_Fill" localSheetId="2" hidden="1">#REF!</definedName>
    <definedName name="_Fill" localSheetId="0" hidden="1">#REF!</definedName>
    <definedName name="_Fill" hidden="1">#REF!</definedName>
    <definedName name="_Order1" hidden="1">0</definedName>
    <definedName name="A_impresión_IM" localSheetId="1">#REF!</definedName>
    <definedName name="A_impresión_IM" localSheetId="2">#REF!</definedName>
    <definedName name="A_impresión_IM" localSheetId="0">#REF!</definedName>
    <definedName name="A_impresión_IM">#REF!</definedName>
    <definedName name="_xlnm.Print_Area" localSheetId="1">'C1 (Pág. 10)'!$A$1:$S$64</definedName>
    <definedName name="_xlnm.Print_Area" localSheetId="2">'C1 (Pág. 11)'!$A$1:$S$78</definedName>
    <definedName name="_xlnm.Print_Area" localSheetId="0">'C1 (Pág. 9)'!$A$1:$S$59</definedName>
    <definedName name="_xlnm.Print_Area" localSheetId="5">'C2 (Pág . 14)'!$A$1:$T$87</definedName>
    <definedName name="_xlnm.Print_Area" localSheetId="3">'C2 (Pág. 12)'!$A$1:$S$65</definedName>
    <definedName name="_xlnm.Print_Area" localSheetId="4">'C2 (Pág. 13)'!$A$1:$S$63</definedName>
    <definedName name="_xlnm.Print_Area" localSheetId="6">'C3 (Pág. 15)'!$A$1:$Q$62</definedName>
    <definedName name="_xlnm.Print_Area" localSheetId="7">'C3 (Pág. 16)'!$A$1:$Q$70</definedName>
    <definedName name="_xlnm.Print_Area" localSheetId="8">'C4 (Pág. 17)'!$A$1:$P$55</definedName>
    <definedName name="_xlnm.Print_Area" localSheetId="9">'C4 (Pág. 18)'!$A$1:$P$71</definedName>
    <definedName name="_xlnm.Print_Area" localSheetId="10">'C4 (Pág. 19)'!$A$1:$P$70</definedName>
    <definedName name="_xlnm.Print_Area" localSheetId="11">'C4 (Pág. 20)'!$A$1:$P$83</definedName>
    <definedName name="_xlnm.Print_Area" localSheetId="12">'C5 (Pág. 21)'!$A$1:$Q$55</definedName>
    <definedName name="_xlnm.Print_Area" localSheetId="13">'C5 (Pág. 22)'!$A$1:$Q$73</definedName>
    <definedName name="_xlnm.Print_Area" localSheetId="14">'C6 (Pág. 23)'!$A$1:$R$66</definedName>
    <definedName name="_xlnm.Print_Area" localSheetId="16">'C7 (Pág. 24) (2)'!$A$1:$R$68</definedName>
    <definedName name="_xlnm.Print_Area" localSheetId="15">'C7 (Pág. 24)gmf'!$A$1:$I$70</definedName>
    <definedName name="_xlnm.Print_Area" localSheetId="18">'C7 (Pág. 25)'!$A$1:$R$65</definedName>
    <definedName name="_xlnm.Print_Area" localSheetId="17">'C7 (Pág. 25) gmf'!$A$1:$I$65</definedName>
    <definedName name="CUADRO" hidden="1">'[4]POBLACION'!$A$17:$A$146</definedName>
    <definedName name="DIFERENCIAS">#N/A</definedName>
    <definedName name="EDO" localSheetId="1" hidden="1">#REF!</definedName>
    <definedName name="EDO" localSheetId="2" hidden="1">#REF!</definedName>
    <definedName name="EDO" localSheetId="0" hidden="1">#REF!</definedName>
    <definedName name="EDO" hidden="1">#REF!</definedName>
    <definedName name="er" hidden="1">#REF!</definedName>
    <definedName name="GGG" localSheetId="1">'[7]FERNANDO'!$A$10:$E$771</definedName>
    <definedName name="GGG" localSheetId="2">'[7]FERNANDO'!$A$10:$E$771</definedName>
    <definedName name="GGG" localSheetId="0">'[7]FERNANDO'!$A$10:$E$771</definedName>
    <definedName name="GGG">'[7]FERNANDO'!$A$10:$E$771</definedName>
    <definedName name="grupos_1">'[8]FERNANDO'!$A$10:$E$771</definedName>
    <definedName name="grupos_e">'[8]FERNANDO'!$A$10:$E$771</definedName>
    <definedName name="I_EGRESOS">#REF!</definedName>
    <definedName name="indice" hidden="1">#REF!</definedName>
    <definedName name="RRR" hidden="1">'[9]POBLACION'!$A$17:$A$146</definedName>
    <definedName name="tu" localSheetId="16">'[10]ING-EGR.'!#REF!</definedName>
    <definedName name="tu" localSheetId="15">'[10]ING-EGR.'!#REF!</definedName>
    <definedName name="tu" localSheetId="18">'[10]ING-EGR.'!#REF!</definedName>
    <definedName name="tu" localSheetId="17">'[10]ING-EGR.'!#REF!</definedName>
    <definedName name="tu">'[10]ING-EGR.'!#REF!</definedName>
    <definedName name="VARIABLES">#N/A</definedName>
    <definedName name="YO" localSheetId="1" hidden="1">'[11]POBLACION'!$A$17:$A$146</definedName>
    <definedName name="YO" localSheetId="2" hidden="1">'[11]POBLACION'!$A$17:$A$146</definedName>
    <definedName name="YO" localSheetId="0" hidden="1">'[11]POBLACION'!$A$17:$A$146</definedName>
    <definedName name="YO" hidden="1">'[11]POBLACION'!$A$17:$A$146</definedName>
  </definedNames>
  <calcPr fullCalcOnLoad="1"/>
</workbook>
</file>

<file path=xl/sharedStrings.xml><?xml version="1.0" encoding="utf-8"?>
<sst xmlns="http://schemas.openxmlformats.org/spreadsheetml/2006/main" count="1406" uniqueCount="691">
  <si>
    <t xml:space="preserve">f/ </t>
  </si>
  <si>
    <t>(Megawatts por hora)</t>
  </si>
  <si>
    <t>El volumen y valor de la producción pecuaria corresponde a carne en canal de las principales especies ganaderas.</t>
  </si>
  <si>
    <t>(Años de vida)</t>
  </si>
  <si>
    <t>Incluye secuestro, violación, abigeato y despojo, entre otros.</t>
  </si>
  <si>
    <t>Incluye la modalidad no escolarizada.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</si>
  <si>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|</t>
  </si>
  <si>
    <t>a/</t>
  </si>
  <si>
    <t xml:space="preserve">d/ </t>
  </si>
  <si>
    <t>f/</t>
  </si>
  <si>
    <t>g/</t>
  </si>
  <si>
    <t>h/</t>
  </si>
  <si>
    <t>i/</t>
  </si>
  <si>
    <t>j/</t>
  </si>
  <si>
    <t>l/</t>
  </si>
  <si>
    <t>m/</t>
  </si>
  <si>
    <t>n/</t>
  </si>
  <si>
    <t>o/</t>
  </si>
  <si>
    <t xml:space="preserve"> </t>
  </si>
  <si>
    <t>%</t>
  </si>
  <si>
    <t>M1</t>
  </si>
  <si>
    <t>M2</t>
  </si>
  <si>
    <t>M3</t>
  </si>
  <si>
    <t>M4</t>
  </si>
  <si>
    <t>e/</t>
  </si>
  <si>
    <t>(Continúa)</t>
  </si>
  <si>
    <t>TCPA
(%)</t>
  </si>
  <si>
    <t>k/</t>
  </si>
  <si>
    <t>(Dotación diaria)</t>
  </si>
  <si>
    <t>(Millones de pesos)</t>
  </si>
  <si>
    <t>(Pesos)</t>
  </si>
  <si>
    <t>(Miles de pesos)</t>
  </si>
  <si>
    <t>(Millones de dólares)</t>
  </si>
  <si>
    <t>(Miles de cabezas)</t>
  </si>
  <si>
    <t>(Por ciento)</t>
  </si>
  <si>
    <t>(Pesos por dólar)</t>
  </si>
  <si>
    <t>(Pesos por libra)</t>
  </si>
  <si>
    <t>(Pesos por euro)</t>
  </si>
  <si>
    <t>(Pesos por yen)</t>
  </si>
  <si>
    <t>(Dólar)</t>
  </si>
  <si>
    <t>(Punto)</t>
  </si>
  <si>
    <t>(Por mil)</t>
  </si>
  <si>
    <t>b/</t>
  </si>
  <si>
    <t>c/</t>
  </si>
  <si>
    <t>d/</t>
  </si>
  <si>
    <t>p/</t>
  </si>
  <si>
    <t>Comprende infraestructura concensionada y permisionada.</t>
  </si>
  <si>
    <t>(Dólares por barril)</t>
  </si>
  <si>
    <t>(Pesos por tonelada)</t>
  </si>
  <si>
    <t>(Pesos por kilogramo)</t>
  </si>
  <si>
    <t>(Pesos por pieza)</t>
  </si>
  <si>
    <t>(Pesos por litro)</t>
  </si>
  <si>
    <t xml:space="preserve">g/ </t>
  </si>
  <si>
    <t xml:space="preserve">e/ </t>
  </si>
  <si>
    <t>ND</t>
  </si>
  <si>
    <t>NA</t>
  </si>
  <si>
    <t>(Comedor)</t>
  </si>
  <si>
    <t>q/</t>
  </si>
  <si>
    <t xml:space="preserve">h/ </t>
  </si>
  <si>
    <t>r/</t>
  </si>
  <si>
    <t>(Pesos diarios)</t>
  </si>
  <si>
    <t>La cifra estatal y nacional corresponde a la inversión física del sector público federal ejercida.</t>
  </si>
  <si>
    <t>Información económica estatal y nacional a precios corrientes</t>
  </si>
  <si>
    <t>Cuadro 2</t>
  </si>
  <si>
    <t>Concepto</t>
  </si>
  <si>
    <t>Nacional</t>
  </si>
  <si>
    <t>Estatal</t>
  </si>
  <si>
    <t>Producción</t>
  </si>
  <si>
    <t>Producto Interno Bruto E/</t>
  </si>
  <si>
    <t>Salarios</t>
  </si>
  <si>
    <t>Salarios mínimos</t>
  </si>
  <si>
    <t>Promedio</t>
  </si>
  <si>
    <t>Toluca</t>
  </si>
  <si>
    <t>Zona metropolitana</t>
  </si>
  <si>
    <t>Finanzas públicas</t>
  </si>
  <si>
    <t>Ramo 33</t>
  </si>
  <si>
    <t>Ramo 20</t>
  </si>
  <si>
    <t>Ordinarios</t>
  </si>
  <si>
    <t>Extraordinarios netos</t>
  </si>
  <si>
    <t>Poder legislativo</t>
  </si>
  <si>
    <t>Poder judicial</t>
  </si>
  <si>
    <t>Gasto corriente</t>
  </si>
  <si>
    <t>Transferencias</t>
  </si>
  <si>
    <t>Gasto programable</t>
  </si>
  <si>
    <t>Otros</t>
  </si>
  <si>
    <t>Saldo de la deuda pública</t>
  </si>
  <si>
    <t>Sector externo</t>
  </si>
  <si>
    <t>Balanza comercial</t>
  </si>
  <si>
    <t>Exportaciones totales</t>
  </si>
  <si>
    <t>Importaciones totales</t>
  </si>
  <si>
    <t>Saldo comercial</t>
  </si>
  <si>
    <t xml:space="preserve">Superficie cosechada total  </t>
  </si>
  <si>
    <t>Superficie cosechada de maíz grano</t>
  </si>
  <si>
    <t>Valor de la producción total</t>
  </si>
  <si>
    <t>Valor de la producción de maíz grano</t>
  </si>
  <si>
    <t>Crédito de avío</t>
  </si>
  <si>
    <t>Crédito refaccionario</t>
  </si>
  <si>
    <t>Tenencia social de la tierra</t>
  </si>
  <si>
    <t>Superficie ejidal y comunal</t>
  </si>
  <si>
    <t>Ejidos y comunidades</t>
  </si>
  <si>
    <t>Ejidatarios y comuneros</t>
  </si>
  <si>
    <t>Volumen de la explotación forestal maderable</t>
  </si>
  <si>
    <t>Valor de la explotación forestal maderable</t>
  </si>
  <si>
    <t>Volumen de la producción pesquera</t>
  </si>
  <si>
    <t xml:space="preserve">Minería </t>
  </si>
  <si>
    <t xml:space="preserve">Valor total </t>
  </si>
  <si>
    <t>Valor de los principales productos</t>
  </si>
  <si>
    <t>Oro</t>
  </si>
  <si>
    <t>Plata</t>
  </si>
  <si>
    <t>Cobre</t>
  </si>
  <si>
    <t>Electricidad</t>
  </si>
  <si>
    <t>Consumo de energía eléctrica</t>
  </si>
  <si>
    <t>Ventas de energía eléctrica</t>
  </si>
  <si>
    <t>Usuarios de energía eléctrica</t>
  </si>
  <si>
    <t>Establecimientos de hospedaje</t>
  </si>
  <si>
    <t>Cuartos de hotel</t>
  </si>
  <si>
    <t>Comunicaciones</t>
  </si>
  <si>
    <t>Longitud de vías férreas</t>
  </si>
  <si>
    <t>Aeródromos</t>
  </si>
  <si>
    <t>Oficinas telegráficas</t>
  </si>
  <si>
    <t>Servicio interior</t>
  </si>
  <si>
    <t>Servicio internacional</t>
  </si>
  <si>
    <t>Información económica estatal a precios constantes</t>
  </si>
  <si>
    <t xml:space="preserve">Valor de la producción pesquera  </t>
  </si>
  <si>
    <t>Cuadro 3</t>
  </si>
  <si>
    <t>Producto Interno Bruto (PIB)</t>
  </si>
  <si>
    <t>Valor Agregado Bruto (VAB)</t>
  </si>
  <si>
    <t>Inflación</t>
  </si>
  <si>
    <t>Inversión pública federal ejercida</t>
  </si>
  <si>
    <t>Inversión pública estatal ejercida por programa</t>
  </si>
  <si>
    <t>Gasto de Inversión Sectorial</t>
  </si>
  <si>
    <t>Ingresos consolidados</t>
  </si>
  <si>
    <t>Egresos consolidados</t>
  </si>
  <si>
    <t>Poder ejecutivo</t>
  </si>
  <si>
    <t>Inversión pública</t>
  </si>
  <si>
    <t>Gasto no programable</t>
  </si>
  <si>
    <t>Ingresos municipales</t>
  </si>
  <si>
    <t>Egresos municipales</t>
  </si>
  <si>
    <t>Crédito otorgado al sector agropecuario</t>
  </si>
  <si>
    <t xml:space="preserve">Crédito de avío   </t>
  </si>
  <si>
    <t>Valor de la producción</t>
  </si>
  <si>
    <t>Valor de los pricipales productos</t>
  </si>
  <si>
    <t xml:space="preserve">Información social y económica nacional </t>
  </si>
  <si>
    <t>Cuadro 4</t>
  </si>
  <si>
    <t>Social</t>
  </si>
  <si>
    <t>Demografía</t>
  </si>
  <si>
    <t xml:space="preserve">Población total </t>
  </si>
  <si>
    <t>Esperanza de vida</t>
  </si>
  <si>
    <t>General</t>
  </si>
  <si>
    <t>Mujeres</t>
  </si>
  <si>
    <t>Salud y educación</t>
  </si>
  <si>
    <t>Tasa de ocupación parcial y desocupación</t>
  </si>
  <si>
    <t>Tasa de condiciones críticas de ocupación</t>
  </si>
  <si>
    <t>Economía</t>
  </si>
  <si>
    <t>(Variables monetarias a precios corrientes)</t>
  </si>
  <si>
    <t>Valor Agregado Bruto</t>
  </si>
  <si>
    <t>Área geográfica A</t>
  </si>
  <si>
    <t>Área geográfica B</t>
  </si>
  <si>
    <t>Deuda pública</t>
  </si>
  <si>
    <t>Deuda externa neta</t>
  </si>
  <si>
    <t>Ingresos del sector presupuestal</t>
  </si>
  <si>
    <t>Gobierno federal</t>
  </si>
  <si>
    <t>Organismos y empresas</t>
  </si>
  <si>
    <t xml:space="preserve">Gasto pagado del sector presupuestal   </t>
  </si>
  <si>
    <t>Información social y económica nacional</t>
  </si>
  <si>
    <t>Balanza de pagos</t>
  </si>
  <si>
    <t>Saldo de la cuenta corriente</t>
  </si>
  <si>
    <t>Saldo de la cuenta de capital</t>
  </si>
  <si>
    <t>Comercio exterior</t>
  </si>
  <si>
    <t>Petroleras</t>
  </si>
  <si>
    <t>No petroleras</t>
  </si>
  <si>
    <t>Bienes de consumo</t>
  </si>
  <si>
    <t>Bienes intermedios</t>
  </si>
  <si>
    <t>Bienes de capital</t>
  </si>
  <si>
    <t>Indicadores financieros</t>
  </si>
  <si>
    <t>Mercado cambiaro</t>
  </si>
  <si>
    <t>Norteamérica</t>
  </si>
  <si>
    <t>Dólar bancario</t>
  </si>
  <si>
    <t>Compra</t>
  </si>
  <si>
    <t>Venta</t>
  </si>
  <si>
    <t>Dólar interbancario</t>
  </si>
  <si>
    <t>Dólar canadiense</t>
  </si>
  <si>
    <t>Europa y Asia</t>
  </si>
  <si>
    <t>Libra esterlina (venta)</t>
  </si>
  <si>
    <t>Euro (Venta)</t>
  </si>
  <si>
    <t>Yen Japonés (Venta)</t>
  </si>
  <si>
    <t>Cotizaciones internacionales</t>
  </si>
  <si>
    <t>Metales</t>
  </si>
  <si>
    <t>Onza Troy México (Venta)</t>
  </si>
  <si>
    <t>Onza Troy Londres (Venta)</t>
  </si>
  <si>
    <t>Onza Nueva York (Venta)</t>
  </si>
  <si>
    <t>Centenario (Venta)</t>
  </si>
  <si>
    <t>Onza Spot Londres (Venta)</t>
  </si>
  <si>
    <t>Onza Troy Nueva York (Venta)</t>
  </si>
  <si>
    <t>Petróleo</t>
  </si>
  <si>
    <t>Maya</t>
  </si>
  <si>
    <t>Istmo</t>
  </si>
  <si>
    <t>Olmeca</t>
  </si>
  <si>
    <t>Mezcla mexicana</t>
  </si>
  <si>
    <t>Cemento gris</t>
  </si>
  <si>
    <t>Productos agrícolas</t>
  </si>
  <si>
    <t>Café (México Fob Laredo)</t>
  </si>
  <si>
    <t>Tasas de interés</t>
  </si>
  <si>
    <t>Internacionales</t>
  </si>
  <si>
    <t>Preferencial Nueva York</t>
  </si>
  <si>
    <t>Prime Rate</t>
  </si>
  <si>
    <t>Libor Londres (6 meses)</t>
  </si>
  <si>
    <t>Nacionales</t>
  </si>
  <si>
    <t xml:space="preserve">Cedes </t>
  </si>
  <si>
    <t xml:space="preserve">60   días  </t>
  </si>
  <si>
    <t xml:space="preserve">90   días </t>
  </si>
  <si>
    <t>180  días</t>
  </si>
  <si>
    <t>Pagarés</t>
  </si>
  <si>
    <t>28 días</t>
  </si>
  <si>
    <t>91 días</t>
  </si>
  <si>
    <t>182 días</t>
  </si>
  <si>
    <t>Cetes (28 días)</t>
  </si>
  <si>
    <t>Costo Porcentual Promedio (CPP)</t>
  </si>
  <si>
    <t>Tasa Interés Intercambiaria de Equilibrio (28 días)</t>
  </si>
  <si>
    <t>Instrumentos de inversión</t>
  </si>
  <si>
    <t>Certificados de depósito (30 días)</t>
  </si>
  <si>
    <t>Aceptaciones bancarias (30 días)</t>
  </si>
  <si>
    <t>Letra del tesoro (3 meses)</t>
  </si>
  <si>
    <t>Papel comercial colocado por intermediarios (30 días)</t>
  </si>
  <si>
    <t>Indicadores bursátiles mundiales</t>
  </si>
  <si>
    <t>Nueva York (Dow Jones)</t>
  </si>
  <si>
    <t>Londres (FTSE-100)</t>
  </si>
  <si>
    <t>Francfort (XETRA DAX)</t>
  </si>
  <si>
    <t>Madrid (IBEX-35)</t>
  </si>
  <si>
    <t>Tokio (NIKKEI-225)</t>
  </si>
  <si>
    <t>Índice</t>
  </si>
  <si>
    <t>Empresas cotizadas</t>
  </si>
  <si>
    <t>Acciones operadas</t>
  </si>
  <si>
    <t>Indicadores monetarios</t>
  </si>
  <si>
    <t>Agregados monetarios</t>
  </si>
  <si>
    <t>Indicadores agrícolas</t>
  </si>
  <si>
    <t>Precios pagados al productor (primavera-verano)</t>
  </si>
  <si>
    <t>Maíz</t>
  </si>
  <si>
    <t>Frijol</t>
  </si>
  <si>
    <t>Sorgo</t>
  </si>
  <si>
    <t>Arroz</t>
  </si>
  <si>
    <t>Precios de mercado</t>
  </si>
  <si>
    <t>Precios nacionales al público</t>
  </si>
  <si>
    <t>Azúcar refinada</t>
  </si>
  <si>
    <t>Huevo blanco</t>
  </si>
  <si>
    <t>Huevo rojo</t>
  </si>
  <si>
    <t>Pan blanco (80 g)</t>
  </si>
  <si>
    <t>Combustibles</t>
  </si>
  <si>
    <t xml:space="preserve">Gasolina   </t>
  </si>
  <si>
    <t>Magna</t>
  </si>
  <si>
    <t>Premium</t>
  </si>
  <si>
    <t>Diesel</t>
  </si>
  <si>
    <t>Información económica nacional a precios constantes</t>
  </si>
  <si>
    <t>Cuadro 5</t>
  </si>
  <si>
    <t xml:space="preserve">Deuda interna neta </t>
  </si>
  <si>
    <t>Gasto pagado del sector presupuestal</t>
  </si>
  <si>
    <t>Gasto programado</t>
  </si>
  <si>
    <t>Inversión pública ejercida</t>
  </si>
  <si>
    <t>Trigo</t>
  </si>
  <si>
    <t>Soya</t>
  </si>
  <si>
    <t>Gasolina</t>
  </si>
  <si>
    <t>Indicadores estatales y nacionales</t>
  </si>
  <si>
    <t>Cuadro 6</t>
  </si>
  <si>
    <t>Densidad de población</t>
  </si>
  <si>
    <t>Hechos vitales</t>
  </si>
  <si>
    <t>Tasa de natalidad</t>
  </si>
  <si>
    <t>Tasa de mortalidad</t>
  </si>
  <si>
    <t>Salud</t>
  </si>
  <si>
    <t>Habitantes por médico</t>
  </si>
  <si>
    <t>Habitantes por unidad médica</t>
  </si>
  <si>
    <t>Abasto social</t>
  </si>
  <si>
    <t>Educación</t>
  </si>
  <si>
    <t>Alumnos por maestro (nivel básico)</t>
  </si>
  <si>
    <t>Empleo</t>
  </si>
  <si>
    <t xml:space="preserve">Participación de los asegurados totales respecto a la PEA </t>
  </si>
  <si>
    <t>Tasa de desocupación a/</t>
  </si>
  <si>
    <t>PIB constante per cápita</t>
  </si>
  <si>
    <t>Índice de precios al consumidor (variación anual)</t>
  </si>
  <si>
    <t>Inversión pública federal per cápita</t>
  </si>
  <si>
    <t>Inversión pública estatal per cápita</t>
  </si>
  <si>
    <t>Ingresos municipales per cápita</t>
  </si>
  <si>
    <t>Egresos municipales per cápita</t>
  </si>
  <si>
    <t>Saldo de la deuda pública per cápita</t>
  </si>
  <si>
    <t>Agrícola</t>
  </si>
  <si>
    <t>Precio de la producción agrícola</t>
  </si>
  <si>
    <t>Precio de la producción de maíz grano</t>
  </si>
  <si>
    <t>Rendimiento de la producción agrícola</t>
  </si>
  <si>
    <t>Rendimiento de la producción de maíz grano</t>
  </si>
  <si>
    <t>Consumo de energía per cápita</t>
  </si>
  <si>
    <t>Longitud de carreteras por kilómetro cuadrado</t>
  </si>
  <si>
    <t>Líneas telefónicas por kilómetro cuadrado</t>
  </si>
  <si>
    <t xml:space="preserve">Incluye el sector auxiliar a nivel estatal. </t>
  </si>
  <si>
    <t>Incluye establecimientos de clase económica (casas de huéspedes, cabañas, campamentos y otros) y establecimientos sin categoría.</t>
  </si>
  <si>
    <t>Forestal</t>
  </si>
  <si>
    <t>Pesca</t>
  </si>
  <si>
    <t>Información social estatal y nacional</t>
  </si>
  <si>
    <t>Trabajadores colocados</t>
  </si>
  <si>
    <t>Capacitación para el trabajo</t>
  </si>
  <si>
    <t>Capacitación y adiestramiento para el trabajo</t>
  </si>
  <si>
    <t>Edayos existentes</t>
  </si>
  <si>
    <t>Cuadro 1</t>
  </si>
  <si>
    <t>PIB corriente per cápita</t>
  </si>
  <si>
    <t>Materiales para construcción</t>
  </si>
  <si>
    <t>Población total</t>
  </si>
  <si>
    <t>Hombres</t>
  </si>
  <si>
    <t>Infantil (0 a 4 años)</t>
  </si>
  <si>
    <t>Escolar (5 a 14 años)</t>
  </si>
  <si>
    <t>Fuerza de trabajo (15 a 64 años)</t>
  </si>
  <si>
    <t>No especificado</t>
  </si>
  <si>
    <t>Femenina en edad reproductiva (15 a 49 años)</t>
  </si>
  <si>
    <t>Nacidos en la entidad</t>
  </si>
  <si>
    <t xml:space="preserve">Inmigrantes  </t>
  </si>
  <si>
    <t>Esperanza de vida general</t>
  </si>
  <si>
    <t>Nacimientos registrados</t>
  </si>
  <si>
    <t>Nacidos vivos</t>
  </si>
  <si>
    <t>Defunciones generales registradas</t>
  </si>
  <si>
    <t>Defunciones de menores de un año</t>
  </si>
  <si>
    <t>Matrimonios</t>
  </si>
  <si>
    <t>Divorcios</t>
  </si>
  <si>
    <t>Población de responsabilidad</t>
  </si>
  <si>
    <t>Derechohabiente</t>
  </si>
  <si>
    <t>Abierta</t>
  </si>
  <si>
    <t>Unidades médicas</t>
  </si>
  <si>
    <t>Personal médico  d/</t>
  </si>
  <si>
    <t xml:space="preserve">Enfermeras   </t>
  </si>
  <si>
    <t>Camas censables</t>
  </si>
  <si>
    <t>Consultorios médicos  e/</t>
  </si>
  <si>
    <t>Alimentación</t>
  </si>
  <si>
    <t>Desayunos escolares</t>
  </si>
  <si>
    <t>Tiendas de abasto social</t>
  </si>
  <si>
    <t>Programa de abasto social de leche</t>
  </si>
  <si>
    <t>Lecherías</t>
  </si>
  <si>
    <t>Resto del Estado</t>
  </si>
  <si>
    <t>Zona Metropolitana de la Ciudad de Toluca  a/</t>
  </si>
  <si>
    <t>427 609</t>
  </si>
  <si>
    <t>1 198 910</t>
  </si>
  <si>
    <t>Asistencia social</t>
  </si>
  <si>
    <t>Albergue y atención a menores en:</t>
  </si>
  <si>
    <t>Desamparo</t>
  </si>
  <si>
    <t>Orientación para el desarrollo integral del adolescente</t>
  </si>
  <si>
    <t>Unidades básicas de rehabilitación</t>
  </si>
  <si>
    <t>Consultas de rehabilitación y educación especial</t>
  </si>
  <si>
    <t xml:space="preserve">Educación (Fin de cursos) </t>
  </si>
  <si>
    <t>Preescolar</t>
  </si>
  <si>
    <t>Primaria</t>
  </si>
  <si>
    <t>Secundaria</t>
  </si>
  <si>
    <t>Media superior</t>
  </si>
  <si>
    <t>Superior</t>
  </si>
  <si>
    <t>Docentes</t>
  </si>
  <si>
    <t>Escuelas</t>
  </si>
  <si>
    <t>Cultura</t>
  </si>
  <si>
    <t xml:space="preserve">Centros culturales </t>
  </si>
  <si>
    <t>Centros culturales regionales</t>
  </si>
  <si>
    <t>Casas de cultura</t>
  </si>
  <si>
    <t>Bibliotecas</t>
  </si>
  <si>
    <t>Museos</t>
  </si>
  <si>
    <t>Justicia</t>
  </si>
  <si>
    <t>Delitos registrados</t>
  </si>
  <si>
    <t>Robo</t>
  </si>
  <si>
    <t>Homicidio</t>
  </si>
  <si>
    <t>Lesiones</t>
  </si>
  <si>
    <t>Daños en bienes</t>
  </si>
  <si>
    <t>Otros i/</t>
  </si>
  <si>
    <t>Actas por responsabilidad oficial</t>
  </si>
  <si>
    <t>Población asegurada (IMSS)</t>
  </si>
  <si>
    <t>Conflictos laborales</t>
  </si>
  <si>
    <t>Huelgas estalladas</t>
  </si>
  <si>
    <t>185 927</t>
  </si>
  <si>
    <t>134 214</t>
  </si>
  <si>
    <t>104 915</t>
  </si>
  <si>
    <t>Patrones totales (IMSS)</t>
  </si>
  <si>
    <t>Emplazamiento a huelgas registradas</t>
  </si>
  <si>
    <t xml:space="preserve">Volumen de la producción de maíz grano </t>
  </si>
  <si>
    <t>(Hectáreas)</t>
  </si>
  <si>
    <t>(Toneladas)</t>
  </si>
  <si>
    <t>(Metros cúbicos)</t>
  </si>
  <si>
    <t>(Kilómetros)</t>
  </si>
  <si>
    <t>(Piezas)</t>
  </si>
  <si>
    <t>(Toneladas por hectárea)</t>
  </si>
  <si>
    <t>(Pesos por persona)</t>
  </si>
  <si>
    <t>Variación anual  (%)</t>
  </si>
  <si>
    <t>Variación anual (%)</t>
  </si>
  <si>
    <t>Mercado de dinero de Nueva York</t>
  </si>
  <si>
    <t>Valor de la producción pesquera</t>
  </si>
  <si>
    <t>Incluye correspondencia expedida y recibida.</t>
  </si>
  <si>
    <t>Se refiere a líneas telefónicas en servicio residenciales y no residenciales.</t>
  </si>
  <si>
    <t>(Actas)</t>
  </si>
  <si>
    <t>(Centros)</t>
  </si>
  <si>
    <t>(Despensas)</t>
  </si>
  <si>
    <t>Producto Interno Bruto Nacional E/</t>
  </si>
  <si>
    <t>Inversión pública estatal ejercida por programa b/</t>
  </si>
  <si>
    <t>Gasto de inversión sectorial c/</t>
  </si>
  <si>
    <t>Ingresos consolidados d/</t>
  </si>
  <si>
    <t>Egresos consolidados e/</t>
  </si>
  <si>
    <t>Poder ejecutivo f/</t>
  </si>
  <si>
    <t>Otros g/</t>
  </si>
  <si>
    <t>Inversión pública h/</t>
  </si>
  <si>
    <t>Recepción de solicitudes de empleo</t>
  </si>
  <si>
    <t>Las cifras e indicadores de la serie corresponden al cuarto trimestre de cada año.</t>
  </si>
  <si>
    <t>Incluye cabezas de ganado lechero.</t>
  </si>
  <si>
    <t>333 177</t>
  </si>
  <si>
    <t>A nivel nacional la información se considera como preeliminar.</t>
  </si>
  <si>
    <t>Beneficiarios</t>
  </si>
  <si>
    <t>Índices de precios implícitos nacionales por sector de actividad económica,</t>
  </si>
  <si>
    <t>Sector de actividad económica</t>
  </si>
  <si>
    <t xml:space="preserve">Producto Interno Bruto a precios de mercado </t>
  </si>
  <si>
    <t>Valor Agregado Bruto a precios básicos</t>
  </si>
  <si>
    <t>Industria</t>
  </si>
  <si>
    <t>Minería</t>
  </si>
  <si>
    <t>Electricidad, agua y suministro de gas por ductos al consumidor final</t>
  </si>
  <si>
    <t>Construcción</t>
  </si>
  <si>
    <t>Industrias manufactureras</t>
  </si>
  <si>
    <t>Servicios</t>
  </si>
  <si>
    <t>Comercio</t>
  </si>
  <si>
    <t>Transporte, correo y almacenamiento</t>
  </si>
  <si>
    <t>Servicios financieros y de seguros</t>
  </si>
  <si>
    <t>Servicios inmobiliarios y de alquiler de bienes muebles e intangibles</t>
  </si>
  <si>
    <t>Información en medios masivos</t>
  </si>
  <si>
    <t>Servicios profesionales, científicos y técnicos</t>
  </si>
  <si>
    <t>Dirección de corporativos y empresas</t>
  </si>
  <si>
    <t>Servicios de apoyo a los negocios y manejo de desechos y servicios de remediación</t>
  </si>
  <si>
    <t>Servicios educativos</t>
  </si>
  <si>
    <t>Servicios de salud y de asistencia social</t>
  </si>
  <si>
    <t>Servicios de esparcimiento culturales y deportivos, y otros servicios recreativos</t>
  </si>
  <si>
    <t>Servicios de alojamiento temporal y de preparación de alimentos y bebidas</t>
  </si>
  <si>
    <t>Otros servicios excepto actividades del gobierno</t>
  </si>
  <si>
    <t>Actividades del gobierno</t>
  </si>
  <si>
    <t>Impuestos a los productos netos</t>
  </si>
  <si>
    <t>Índices de precios implícitos estatales por sector de actividad económica,</t>
  </si>
  <si>
    <t>Impuestos a los productos netos E/</t>
  </si>
  <si>
    <t>Índice Nacional de Precios al Consumidor (Base 2Q jun 2010=100)</t>
  </si>
  <si>
    <t>Salarios mínimos (Base 2Q jun. 2010=100)</t>
  </si>
  <si>
    <t>Distribución diaria de leche</t>
  </si>
  <si>
    <t>(Beneficiarios por lechería)</t>
  </si>
  <si>
    <t>s/</t>
  </si>
  <si>
    <t>Unidades Económicas</t>
  </si>
  <si>
    <t>Agricultura</t>
  </si>
  <si>
    <t>Industriales</t>
  </si>
  <si>
    <t>Comerciales</t>
  </si>
  <si>
    <t>-</t>
  </si>
  <si>
    <t>Cuadro 7</t>
  </si>
  <si>
    <t>Otros (ADEFAS)</t>
  </si>
  <si>
    <t xml:space="preserve">Balance presupuestario del sector público  d/    </t>
  </si>
  <si>
    <t>Balance primario</t>
  </si>
  <si>
    <t xml:space="preserve">Balance presupuestario del sector público </t>
  </si>
  <si>
    <t>Balance presupuestario</t>
  </si>
  <si>
    <t>(Dólares por kilogramo)</t>
  </si>
  <si>
    <t>Transferencias a municipios</t>
  </si>
  <si>
    <t>Deuda Pública</t>
  </si>
  <si>
    <t>Transferencias a municipios i/</t>
  </si>
  <si>
    <t>Ingresos municipales j/</t>
  </si>
  <si>
    <t>Egresos municipales j/</t>
  </si>
  <si>
    <t>t/</t>
  </si>
  <si>
    <t>A partir del 2004, el Programa de Inversión Estatal cambió de nombre a Gasto de Inversión Sectorial.</t>
  </si>
  <si>
    <t>La cifra federal incluye participaciones a entidades federativas y municipios.</t>
  </si>
  <si>
    <r>
      <t xml:space="preserve">Hechos vitales </t>
    </r>
    <r>
      <rPr>
        <sz val="10"/>
        <rFont val="Gotham Book"/>
        <family val="0"/>
      </rPr>
      <t>b/</t>
    </r>
  </si>
  <si>
    <t xml:space="preserve">Salud c/ </t>
  </si>
  <si>
    <r>
      <t xml:space="preserve">Precios de mercado (Base 2Q jun. 2010=100) </t>
    </r>
    <r>
      <rPr>
        <b/>
        <vertAlign val="superscript"/>
        <sz val="10"/>
        <rFont val="Gotham Book"/>
        <family val="0"/>
      </rPr>
      <t xml:space="preserve"> </t>
    </r>
  </si>
  <si>
    <t>Salarios mínimos ( Base 2Q jun. 2010=100)</t>
  </si>
  <si>
    <t>Azúcar (Mundial)</t>
  </si>
  <si>
    <t>Los indicadores de la serie corresponden al cuarto trimestre de cada año de la Encuentas Nacional de Ocupación y Empleo.</t>
  </si>
  <si>
    <t>No incluye floricultura.</t>
  </si>
  <si>
    <t>La cifra de inversión pública estatal ejercida incluye también cobertura regional, estatal y más de un municipio.</t>
  </si>
  <si>
    <t>Las cifras corresponden a la inversión física del sector público federal ejercida.</t>
  </si>
  <si>
    <t>Papel Comercial, Tasa Promedio Ponderada f/</t>
  </si>
  <si>
    <t>Soya h/</t>
  </si>
  <si>
    <t>Inversión pública ejercida e/</t>
  </si>
  <si>
    <t xml:space="preserve">Las cifras de 2009 a 2011 correspondientes a la Soya fueron obtenidas del Servicio de Información Agroalimentaria y Pesquera . </t>
  </si>
  <si>
    <t xml:space="preserve">E/ </t>
  </si>
  <si>
    <t>Incluye la operación de desayunadores en centros escolares y cocinas populares.</t>
  </si>
  <si>
    <t>Comprende capacitación para el trabajo, educación inicial, especial y educación para adultos.</t>
  </si>
  <si>
    <t xml:space="preserve">   </t>
  </si>
  <si>
    <t>A partir del 2011 cambió el concepto de "Averiguaciones Consignadas" a "Denuncias Penales". Mientras que, a nivel nacional, se refiere al total de averiguaciones previas despachadas que resultaron en consignaciones con y sin detenido.</t>
  </si>
  <si>
    <t>2012 P/</t>
  </si>
  <si>
    <t>Se refiere a ramos autónomos (IFE, CNDH e INEGI) y gasto federalizado programable.</t>
  </si>
  <si>
    <t>Deuda interna bruta</t>
  </si>
  <si>
    <t>Deuda externa bruta</t>
  </si>
  <si>
    <t>Índice Nacional de Precios Productor Base junio 2012=100 (SCIAN 2007)</t>
  </si>
  <si>
    <t>A partir de 2011 la información estatal se refiere a Canastas Bicentenario.</t>
  </si>
  <si>
    <t>A partir de 2009, la información a nivel estatal, se refiere a órdenes de aprehensión cumplidas por delitos graves.</t>
  </si>
  <si>
    <t>183 893</t>
  </si>
  <si>
    <t>Hasta 2009 las cifras estatales se refieren a ingresos y egresos presupuestados municipales; mientras que, a partir de 2010 los nacionales y estatales corresponden a ingresos y egresos ejercidos.</t>
  </si>
  <si>
    <t>A nivel estatal se incluyen consultorios dentales.</t>
  </si>
  <si>
    <t>Área geográfica C a/</t>
  </si>
  <si>
    <t xml:space="preserve">Encuesta de ingresos y gastos de los hogares del Estado de México
</t>
  </si>
  <si>
    <t>TRANSFERENCIAS</t>
  </si>
  <si>
    <t xml:space="preserve">OTROS INGRESOS CORRIENTES </t>
  </si>
  <si>
    <t>AUTOCONSUMO</t>
  </si>
  <si>
    <t>REMUNERACIONES EN ESPECIE</t>
  </si>
  <si>
    <t>REMUNERACIONES POR TRABAJO SUBORDINADO</t>
  </si>
  <si>
    <t>INGRESOS POR TRABAJO INDEPENDIENTE</t>
  </si>
  <si>
    <t>INGRESOS DE OTROS TRABAJOS</t>
  </si>
  <si>
    <t>RENTA DE LA PROPIEDAD</t>
  </si>
  <si>
    <t>Demografía E/</t>
  </si>
  <si>
    <t>Zona conurbada con el Distrito FederaI a/</t>
  </si>
  <si>
    <t>Promedio ponderado con la población asalariada</t>
  </si>
  <si>
    <t>A partir del 27 de noviembre de 2012 el Área Geográfica B se integró a la A y la C se renombró como B.</t>
  </si>
  <si>
    <t>u/</t>
  </si>
  <si>
    <t>Para el año 2011 los factores climatológicos provocaron sequias y heladas lo cual causó una disminución en la producción del sector agrícola.</t>
  </si>
  <si>
    <t>2013 P/</t>
  </si>
  <si>
    <t>Agricultura, cría y explotación de animales, aprovechamiento forestal, pesca y caza</t>
  </si>
  <si>
    <t>Base 2008 = 100</t>
  </si>
  <si>
    <t>serie anual de 2003 a 2013</t>
  </si>
  <si>
    <t>2013 E/</t>
  </si>
  <si>
    <t>Fuente: IGECEM. Dirección de Estadística. Elaborado con base en datos del INEGI. Sistema de Cuentas Nacionales de México, Producto Interno Bruto por Entidad Federativa 2008-2012 Año base 2008.</t>
  </si>
  <si>
    <t>Fuente: IGECEM. Dirección de Estadística. Elaborado con base en datos del INEGI. Banco de Información Económica (BIE), Sistema de Cuentas Nacionales de México, Producto interno bruto trimestral 2014, consulta en línea.</t>
  </si>
  <si>
    <t>Ayudas funcionales</t>
  </si>
  <si>
    <t>Alumnos</t>
  </si>
  <si>
    <t>Personal medico</t>
  </si>
  <si>
    <t>Tasa de desocupación</t>
  </si>
  <si>
    <t>Tasa de mortalidad infantil</t>
  </si>
  <si>
    <t>Habitantes por cama cansable</t>
  </si>
  <si>
    <t>Serie anual de 2003 a 2013</t>
  </si>
  <si>
    <t>Banco de México</t>
  </si>
  <si>
    <t>Financiero</t>
  </si>
  <si>
    <t>http://www.economia-sniim.gob.mx/AzucarMesPorDia.asp?Cons=D&amp;prod=155&amp;dqMesMes=12&amp;dqAnioMes=2013&amp;Formato=Xls&amp;submit=Ver+Resultados</t>
  </si>
  <si>
    <t>Financiero 7a</t>
  </si>
  <si>
    <t>OSFEM</t>
  </si>
  <si>
    <t>Financiero caratula</t>
  </si>
  <si>
    <t>Banco de México NTERNET</t>
  </si>
  <si>
    <t>Banco de México internet</t>
  </si>
  <si>
    <t>Internet</t>
  </si>
  <si>
    <t>SNIIM</t>
  </si>
  <si>
    <t>4a</t>
  </si>
  <si>
    <t>8a</t>
  </si>
  <si>
    <t>Mixta (2 500 - 14 999 hab.)</t>
  </si>
  <si>
    <t>Rural (1 - 2 499 hab.)</t>
  </si>
  <si>
    <r>
      <t xml:space="preserve">Paquetes alimenticios a familias </t>
    </r>
    <r>
      <rPr>
        <vertAlign val="superscript"/>
        <sz val="10"/>
        <rFont val="Gotham Book"/>
        <family val="0"/>
      </rPr>
      <t>f/</t>
    </r>
  </si>
  <si>
    <t xml:space="preserve">Servicio de empleo </t>
  </si>
  <si>
    <t>Producción (Base 2008=100)</t>
  </si>
  <si>
    <t>Índice de Precios Implicitos (PIB) (Base 2008=100)</t>
  </si>
  <si>
    <t xml:space="preserve">Índice de Precios Implícitos (VAB) (Base 2008=100) </t>
  </si>
  <si>
    <t>Finanzas Públicas (Base 2008=100)</t>
  </si>
  <si>
    <t>Producto Interno Bruto Estatal a precios constantes por sector de actividad económica,</t>
  </si>
  <si>
    <t>Cuadro 1.2</t>
  </si>
  <si>
    <t>(Millones de pesos de 2008)</t>
  </si>
  <si>
    <t>Producto Interno Bruto a precios de mercado E/</t>
  </si>
  <si>
    <t>Nota: Las sumas pueden no coincidir debido al redondeo electrónico de las cifras.</t>
  </si>
  <si>
    <t>Fuente: IGECEM. Dirección de Estadística. Elaborado con base en datos del INEGI. Sistema de Cuentas Nacionales de México, Producto Interno Bruto por Entidad Federativa 2007-2012 Año base 2008.</t>
  </si>
  <si>
    <t>Producto Interno Bruto Nacional a precios constantes por sector de actividad económica,</t>
  </si>
  <si>
    <t>Cuadro 1.1</t>
  </si>
  <si>
    <r>
      <t>Espacios de alimentación, encuentro y desarrollo</t>
    </r>
    <r>
      <rPr>
        <vertAlign val="superscript"/>
        <sz val="10"/>
        <rFont val="Gotham Book"/>
        <family val="0"/>
      </rPr>
      <t xml:space="preserve"> g/</t>
    </r>
  </si>
  <si>
    <t>Situación extraordinaria (de y en la calle)</t>
  </si>
  <si>
    <t xml:space="preserve">A partir de 2011, la información estatal no incluye  odontólogos. </t>
  </si>
  <si>
    <t>La información nacional corresponde a 2012.</t>
  </si>
  <si>
    <t>Alumnos a/</t>
  </si>
  <si>
    <r>
      <t xml:space="preserve">Empleo </t>
    </r>
    <r>
      <rPr>
        <sz val="10"/>
        <rFont val="Gotham Book"/>
        <family val="0"/>
      </rPr>
      <t>b/</t>
    </r>
  </si>
  <si>
    <t xml:space="preserve">a/ </t>
  </si>
  <si>
    <t>Agrícola (Base 2008=100)</t>
  </si>
  <si>
    <t>Pecuario (Base 2008=100)</t>
  </si>
  <si>
    <t>Forestal (Base 2008=100)</t>
  </si>
  <si>
    <t>Pesca (Base 2008=100)</t>
  </si>
  <si>
    <t>Minería (Base 2008=100)</t>
  </si>
  <si>
    <t>Electricidad (Base 2008=100)</t>
  </si>
  <si>
    <t>TCPA: Tasa de crecimiento promedio anual del periodo de 2003 a 2013.</t>
  </si>
  <si>
    <t>Producto Interno Bruto Nacional a precios corrientes por sector de actividad económica,</t>
  </si>
  <si>
    <t>Cuadro 2.1</t>
  </si>
  <si>
    <t>Finanzas públicas (Base 2008=100)</t>
  </si>
  <si>
    <t>Indicadores monetarios (Base 2008=100)</t>
  </si>
  <si>
    <t>Cifras estimadas por el IGECEM. Dirección de Estadística.</t>
  </si>
  <si>
    <t>Cifras obtenidas de la Cuenta de la Hacienda Pública Federal 2003-2013.</t>
  </si>
  <si>
    <t>Índice de Precios Implícito (VAB) (Base 2008=100)</t>
  </si>
  <si>
    <t>Índice de Precios Implícito (PIB) (Base 2008=100)</t>
  </si>
  <si>
    <t>Indicadores agrícolas  (Base 2008=100)</t>
  </si>
  <si>
    <r>
      <t xml:space="preserve">Combustibles (Base 2008=100) </t>
    </r>
    <r>
      <rPr>
        <b/>
        <vertAlign val="superscript"/>
        <sz val="10"/>
        <rFont val="Gotham Book"/>
        <family val="0"/>
      </rPr>
      <t xml:space="preserve"> </t>
    </r>
  </si>
  <si>
    <t xml:space="preserve">Las cifras de la serie corresponden al cuarto trimestre de cada año.  </t>
  </si>
  <si>
    <t>Valor de la producción pecuaria en canal</t>
  </si>
  <si>
    <t>Volumen de la producción pecuaria en canal</t>
  </si>
  <si>
    <t>Varilla (3/8") marca Aceros San Luis</t>
  </si>
  <si>
    <t>El total de egresos estatal corresponde al reportado en el cuadro Consolidado de la Evolución de las Finanzas Públicas, publicado en la Cuenta Pública del Gobierno y Organismos Auxiliares del Estado de México 2003-2012 y la Cuenta Pública del Gobierno, Organismos Auxiliares y Autónomos 2013.</t>
  </si>
  <si>
    <t>Las cifras estatales son obtenidas con base en la información contenida en la Cuenta Pública del Gobierno y Organismos Auxiliares del Estado de México 2003-2012 y la Cuenta Pública del Gobierno, Organismos Auxiliares y Autónomos 2013.</t>
  </si>
  <si>
    <t>v/</t>
  </si>
  <si>
    <t>w/</t>
  </si>
  <si>
    <t>Volumen de la producción total l/</t>
  </si>
  <si>
    <r>
      <t>Pecuario</t>
    </r>
    <r>
      <rPr>
        <sz val="10"/>
        <rFont val="Gotham Book"/>
        <family val="0"/>
      </rPr>
      <t xml:space="preserve"> m/</t>
    </r>
  </si>
  <si>
    <t>Existencias ganaderas de bovinos n/</t>
  </si>
  <si>
    <t>(Miles de pesos) o/</t>
  </si>
  <si>
    <r>
      <t>Turismo p</t>
    </r>
    <r>
      <rPr>
        <sz val="10"/>
        <rFont val="Gotham Book"/>
        <family val="0"/>
      </rPr>
      <t>/</t>
    </r>
  </si>
  <si>
    <t>Longitud de carreteras q/</t>
  </si>
  <si>
    <t>Aeropuertos r/</t>
  </si>
  <si>
    <t>Oficinas postales  s/</t>
  </si>
  <si>
    <t>Movimiento de correspondencia t/</t>
  </si>
  <si>
    <t>Líneas telefónicas u/</t>
  </si>
  <si>
    <t>Estaciones de radio v/</t>
  </si>
  <si>
    <t>Estaciones de televisión v/</t>
  </si>
  <si>
    <t>Establecimientos económicos por sector de actividad w/</t>
  </si>
  <si>
    <t>Índice de Precios al Consumidor de la ciudad de Toluca (Base  segunda quincena Dic 2010)</t>
  </si>
  <si>
    <t>Área geográfica C c/</t>
  </si>
  <si>
    <t xml:space="preserve">c/ </t>
  </si>
  <si>
    <t xml:space="preserve">Frijol </t>
  </si>
  <si>
    <t>Precios pagados al productor g/</t>
  </si>
  <si>
    <t xml:space="preserve"> Gasto programable </t>
  </si>
  <si>
    <t xml:space="preserve"> Gasto no programable</t>
  </si>
  <si>
    <t>Gasto del poder ejecutivo</t>
  </si>
  <si>
    <t>Tercera edad (65 o más años)</t>
  </si>
  <si>
    <t>Urbana (15 000 ó más hab.)</t>
  </si>
  <si>
    <t>Cifras estimadas por el IGECEM. Dirección de Estadística con base en el Censo General de Población y Vivienda 2000 y el Censo de Población y Vivienda 2010.</t>
  </si>
  <si>
    <t>La Zona Metropolitana del Valle de México en el año 2000 se conformaba por 56 municipios, en 2005 por 58 y 2010 por 59 municipios. Por otro lado la  Zona Metropolitana del Valle de Toluca en 2000 estaba integrada por 12 municipios, en 2005 por 14 y en 2010 por 15.</t>
  </si>
  <si>
    <t>No aplica en virtud de la reforma del Sistema de Justicia Penal en el Estado de México, debido a que se encuentra en proceso de redifinición la estructura conceptual.</t>
  </si>
  <si>
    <r>
      <rPr>
        <b/>
        <sz val="10"/>
        <rFont val="Gotham Book"/>
        <family val="0"/>
      </rPr>
      <t>Fuente:</t>
    </r>
    <r>
      <rPr>
        <sz val="10"/>
        <rFont val="Gotham Book"/>
        <family val="0"/>
      </rPr>
      <t xml:space="preserve"> IGECEM. Dirección de Estadística. Elaborado con base en información proporcionada por las unidades productoras de información de los ámbitos federal y estatal.</t>
    </r>
  </si>
  <si>
    <t xml:space="preserve">Población Económicamente Activa </t>
  </si>
  <si>
    <r>
      <rPr>
        <b/>
        <sz val="10"/>
        <rFont val="Gotham Bok"/>
        <family val="0"/>
      </rPr>
      <t>Fuente:</t>
    </r>
    <r>
      <rPr>
        <sz val="10"/>
        <rFont val="Gotham Bok"/>
        <family val="0"/>
      </rPr>
      <t xml:space="preserve"> IGECEM. Dirección de Estadística. Elaborado con base en información proporcionada por las unidades productoras de información de los ámbitos federal y estatal.</t>
    </r>
  </si>
  <si>
    <t>La información a nivel nacional se refiere a 2012.</t>
  </si>
  <si>
    <t>Estas cifras difieren del Tomo II del Tercer Informe de Gobierno, debido a que en el documento del informe sólo se consideran las carreteras alimentadoras estatales pavimentadas y federales troncales pavimentadas.</t>
  </si>
  <si>
    <t>La cifras corresponden al año 2012 tanto nacionales como internacionales .</t>
  </si>
  <si>
    <t>Comprende expendios ubicados en pequeños comercios, tiendas DICONSA, LICONSA y otros.</t>
  </si>
  <si>
    <r>
      <rPr>
        <b/>
        <sz val="10"/>
        <rFont val="Gotham Book"/>
        <family val="0"/>
      </rPr>
      <t>Nota</t>
    </r>
    <r>
      <rPr>
        <sz val="10"/>
        <rFont val="Gotham Book"/>
        <family val="0"/>
      </rPr>
      <t>: Los valores de las variables de producción a precios constantes se obtuvieron al dividir los valores monetarios a precios corrientes entre el Índice de Precios Implícito (IPI) del Producto Interno Bruto y el resultado se multiplicó por cien. Mientras que en el sector agrícola, forestal y pesca se utilizó el IPI agropecuario, para minería y electricidad el IPI de minería y el IPI de electricidad, respectivamente.</t>
    </r>
  </si>
  <si>
    <t>TCPA: Tasa de crecimiento promedio anual del periodo 2003 a 2013.</t>
  </si>
  <si>
    <t xml:space="preserve">El dato para 2012 y 2013 de la tasa promedio corresponde a la fecha de cierre  16 de marzo de 2012. </t>
  </si>
  <si>
    <t xml:space="preserve">Los datos corresponden al ciclo agrícola primavera-verano. </t>
  </si>
  <si>
    <t>Índice de la Canasta Básica (2Q Dic 2010)</t>
  </si>
  <si>
    <r>
      <rPr>
        <b/>
        <sz val="10"/>
        <rFont val="Gotham Book"/>
        <family val="0"/>
      </rPr>
      <t>Nota</t>
    </r>
    <r>
      <rPr>
        <sz val="10"/>
        <rFont val="Gotham Book"/>
        <family val="0"/>
      </rPr>
      <t>: Los valores de las variables de producción a precios constantes se obtuvieron de dividir los valores monetarios a precios corrientes entre el Índice de Precios Implícito (IPI) del Producto Interno Bruto y el resultado se multiplicó por cien. Para el caso de los salarios mínimos, los precios pagados al productor y los precios nacionales al público se utilizó el Índice de Precios al Consumidor, el Índice de Precios al Productor y el índice de la canasta básica, respectivamente.</t>
    </r>
  </si>
  <si>
    <r>
      <t>(hab./km</t>
    </r>
    <r>
      <rPr>
        <vertAlign val="superscript"/>
        <sz val="10"/>
        <rFont val="Gotham Book"/>
        <family val="0"/>
      </rPr>
      <t>2</t>
    </r>
    <r>
      <rPr>
        <sz val="10"/>
        <rFont val="Gotham Book"/>
        <family val="0"/>
      </rPr>
      <t>)</t>
    </r>
  </si>
  <si>
    <t>Composición del Ingreso</t>
  </si>
  <si>
    <t>Ingreso Corriente Total</t>
  </si>
  <si>
    <t>Ingreso corriente monetario</t>
  </si>
  <si>
    <t>Remuneraciones por trabajo subordinado</t>
  </si>
  <si>
    <t>Ingresos por trabajo independiente</t>
  </si>
  <si>
    <t>Ingresos por otros trabajos</t>
  </si>
  <si>
    <t>Renta de la propiedad</t>
  </si>
  <si>
    <t>Otros ingresos corrientes</t>
  </si>
  <si>
    <t>Ingreso corriente no monetario</t>
  </si>
  <si>
    <t>Autoconsumo</t>
  </si>
  <si>
    <t>Remuneraciones en especie</t>
  </si>
  <si>
    <t>Transferencias en especie</t>
  </si>
  <si>
    <t>Estimaciones del alquiler de la vivienda</t>
  </si>
  <si>
    <t>Ingreso</t>
  </si>
  <si>
    <t>FUENTE: IGECEM. Con base en la información de la Encuesta de Ingresos y Gasto de los Hogares del Estado de México 2010.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</si>
  <si>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</si>
  <si>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</si>
  <si>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</si>
  <si>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</si>
  <si>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</si>
  <si>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</si>
  <si>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</si>
  <si>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</si>
  <si>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</si>
  <si>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</si>
  <si>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Coeficiente de Gini</t>
  </si>
  <si>
    <t>Hogares y su ingreso corriente total trimestral por deciles de hogares y su Coeficiente de Gini</t>
  </si>
  <si>
    <t>Composición del gasto total trimestral</t>
  </si>
  <si>
    <t xml:space="preserve">Composición del gasto total </t>
  </si>
  <si>
    <t>Gasto Corriente Total</t>
  </si>
  <si>
    <t>Gasto Corriente Monetario</t>
  </si>
  <si>
    <t>Alimentos, bebidas y tabaco</t>
  </si>
  <si>
    <t>Vestido y calzado</t>
  </si>
  <si>
    <t>Vivienda, servicios de conservación, energia electrica y combustibles</t>
  </si>
  <si>
    <t>Articulos y servicios para la limpieza, cuidados de la casa, enseres domesticos y muebles, cristaleria, utensilios domésticos y blancos</t>
  </si>
  <si>
    <t>Cuidados de la salud</t>
  </si>
  <si>
    <t>Transporte , adquisición, manteniemiento, accesorios y servicios para vehículos; comunicaciones</t>
  </si>
  <si>
    <t>Servicios de educación, articulos educativos, articulos de esparcimiento y otros gastos de esparcimiento</t>
  </si>
  <si>
    <t>Cuidados personales, accesorios , efectos personales  y otros gastos diversos</t>
  </si>
  <si>
    <t>Transferencias de gasto</t>
  </si>
  <si>
    <t>Gasto Corriente no Monetario</t>
  </si>
  <si>
    <t>Hogares y su gasto corriente monetario trimestral según deciles</t>
  </si>
  <si>
    <t>Gasto</t>
  </si>
  <si>
    <r>
      <rPr>
        <b/>
        <sz val="8"/>
        <rFont val="Gotham Book"/>
        <family val="0"/>
      </rPr>
      <t>FUENTE</t>
    </r>
    <r>
      <rPr>
        <sz val="8"/>
        <rFont val="Gotham Book"/>
        <family val="0"/>
      </rPr>
      <t>: IGECEM. Con base en la información de la Encuesta de Ingresos y Gasto de los Hogares del Estado de México 2010.</t>
    </r>
  </si>
  <si>
    <r>
      <rPr>
        <b/>
        <sz val="10"/>
        <rFont val="Gotham Book"/>
        <family val="0"/>
      </rPr>
      <t>FUENTE</t>
    </r>
    <r>
      <rPr>
        <sz val="10"/>
        <rFont val="Gotham Book"/>
        <family val="0"/>
      </rPr>
      <t>: INEGI. Encuesta de Ingresos y Gastos de los Hogares del Estado de México 2010.</t>
    </r>
  </si>
  <si>
    <r>
      <rPr>
        <b/>
        <sz val="8"/>
        <rFont val="Gotham Book"/>
        <family val="0"/>
      </rPr>
      <t>Fuente</t>
    </r>
    <r>
      <rPr>
        <sz val="8"/>
        <rFont val="Gotham Book"/>
        <family val="0"/>
      </rPr>
      <t>: IGECEM con base en la información de la Encuesta de Ingresos y Gasto de los Hogares del Estado de México 2010.</t>
    </r>
  </si>
  <si>
    <t>Porcentaje</t>
  </si>
  <si>
    <r>
      <t xml:space="preserve">Ingreso corriente total trimestral
</t>
    </r>
    <r>
      <rPr>
        <sz val="12"/>
        <rFont val="Gotham Book"/>
        <family val="0"/>
      </rPr>
      <t>(Miles de pesos)</t>
    </r>
  </si>
  <si>
    <r>
      <rPr>
        <b/>
        <sz val="8"/>
        <rFont val="Gotham Book"/>
        <family val="0"/>
      </rPr>
      <t>Fuente:</t>
    </r>
    <r>
      <rPr>
        <sz val="8"/>
        <rFont val="Gotham Book"/>
        <family val="0"/>
      </rPr>
      <t xml:space="preserve"> IGECEM con base en la información de la Encuesta de Ingresos y Gasto de los Hogares del Estado de México, 2010.</t>
    </r>
  </si>
  <si>
    <t>Composición del ingreso</t>
  </si>
  <si>
    <t>Hogares
       Deciles</t>
  </si>
  <si>
    <t>Gasto corriente monetario</t>
  </si>
  <si>
    <t>Gasto corriente no monetario</t>
  </si>
  <si>
    <r>
      <rPr>
        <b/>
        <sz val="8"/>
        <rFont val="Gotham Book"/>
        <family val="0"/>
      </rPr>
      <t>Fuente</t>
    </r>
    <r>
      <rPr>
        <sz val="8"/>
        <rFont val="Gotham Book"/>
        <family val="0"/>
      </rPr>
      <t>: INEGI. Encuesta de Ingresos y Gastos de los Hogares del Estado de México, 2010.</t>
    </r>
  </si>
  <si>
    <r>
      <rPr>
        <b/>
        <sz val="8"/>
        <rFont val="Gotham Book"/>
        <family val="0"/>
      </rPr>
      <t>Fuente</t>
    </r>
    <r>
      <rPr>
        <sz val="8"/>
        <rFont val="Gotham Book"/>
        <family val="0"/>
      </rPr>
      <t>: IGECEM con base en la información de la Encuesta de Ingresos y Gasto de los Hogares del Estado
                 de México, 2010.</t>
    </r>
  </si>
  <si>
    <r>
      <rPr>
        <b/>
        <sz val="8"/>
        <rFont val="Gotham Book"/>
        <family val="0"/>
      </rPr>
      <t xml:space="preserve">Fuente: </t>
    </r>
    <r>
      <rPr>
        <sz val="8"/>
        <rFont val="Gotham Book"/>
        <family val="0"/>
      </rPr>
      <t>IGECEM con base en la información de la Encuesta de Ingresos y Gasto de los Hogares
                  del Estado de México, 2010.</t>
    </r>
  </si>
  <si>
    <r>
      <rPr>
        <b/>
        <sz val="8"/>
        <rFont val="Gotham Book"/>
        <family val="0"/>
      </rPr>
      <t xml:space="preserve">Coeficiente de Gini: </t>
    </r>
    <r>
      <rPr>
        <sz val="8"/>
        <rFont val="Gotham Book"/>
        <family val="0"/>
      </rPr>
      <t>Medida de concentración del ingreso, toma valores entre 0 y 1. Cuando el valor de acerca a 1, indica que hay una mayor concentración del ingreso. Si se acerca a 0, la concentración del ingreso es menor.</t>
    </r>
  </si>
  <si>
    <t>Para los datos de 2005 y 2009 se consideraron los censos economicos 2004 y 2009, respectivamente; para los demas años se utilizó el Directorio Estadístico Nacional de Unidades Económicas (DENUE) 2013, INEGI.</t>
  </si>
  <si>
    <t>Bolsa Mexicana de Valores</t>
  </si>
  <si>
    <r>
      <rPr>
        <b/>
        <sz val="10"/>
        <rFont val="Gotham Book"/>
        <family val="0"/>
      </rPr>
      <t>Fuente:</t>
    </r>
    <r>
      <rPr>
        <sz val="10"/>
        <rFont val="Gotham Book"/>
        <family val="0"/>
      </rPr>
      <t xml:space="preserve"> De este mismo documento se extrae la información de los Cuadros 1. Información social estatal y nacional, 2. Información económica estatal y nacional a precios corrientes, 3. Información económica estatal a precios constantes, 4. Información social y económica nacional, 5. Información económica nacional a precios constantes,  Serie anual de 2003 a 2013.</t>
    </r>
  </si>
  <si>
    <t>Servicios de educación, artículos educativos, artículos de esparcimiento y otros gastos de esparcimiento</t>
  </si>
  <si>
    <t>Vivienda, servicios de conservación, energía eléctrica y combustibles</t>
  </si>
  <si>
    <t>Artículos y servicios para la limpieza, cuidados de la casa, enseres domésticos y muebles, cristalería, utensilios domésticos y blancos</t>
  </si>
  <si>
    <t>Transporte , adquisición, mantenimiento, accesorios y servicios para vehículos; comunicaciones</t>
  </si>
  <si>
    <t>Inversión pública federal ejercida a/</t>
  </si>
  <si>
    <t xml:space="preserve">Los ingresos consolidados  incluyen superávit del ejercicio anterior. </t>
  </si>
  <si>
    <t xml:space="preserve">Balance presupuestario </t>
  </si>
  <si>
    <t xml:space="preserve">Balance primario </t>
  </si>
  <si>
    <r>
      <t>Agrícola</t>
    </r>
    <r>
      <rPr>
        <sz val="10"/>
        <rFont val="Gotham Book"/>
        <family val="0"/>
      </rPr>
      <t xml:space="preserve"> k/</t>
    </r>
  </si>
  <si>
    <t>Apliación de terapias de rehabilitación h/</t>
  </si>
  <si>
    <t>Otros  i/</t>
  </si>
  <si>
    <t xml:space="preserve">Otros i/  </t>
  </si>
  <si>
    <t>Otros j/</t>
  </si>
  <si>
    <t>Denuncias penales k/</t>
  </si>
  <si>
    <t>Población económicamente activa n/</t>
  </si>
  <si>
    <r>
      <t xml:space="preserve">NA </t>
    </r>
    <r>
      <rPr>
        <vertAlign val="superscript"/>
        <sz val="10"/>
        <color indexed="63"/>
        <rFont val="Gotham Book"/>
        <family val="0"/>
      </rPr>
      <t>l/</t>
    </r>
  </si>
  <si>
    <t>Órdenes de aprehensión cumplidas m/</t>
  </si>
  <si>
    <t>Las cifras a nivel nacional considera el CREE del Sistema Nacional DIF, para el Estado de México incluye Unidades Básicas de Rehabilitación e Integración Social (UBRIS), Unidades de Rehabilitación e Integración Social (URIS), Centros de Rehabilitación e Integración Social (CRIS), y el Centro de Rehabilitación y Educación Especial (CREE).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</si>
</sst>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N$&quot;#,##0_);[Red]\(&quot;N$&quot;#,##0\)"/>
    <numFmt numFmtId="173" formatCode="&quot;N$&quot;#,##0.00_);[Red]\(&quot;N$&quot;#,##0.00\)"/>
    <numFmt numFmtId="174" formatCode="#,##0.0_);\(#,##0.0\)"/>
    <numFmt numFmtId="175" formatCode="General_)"/>
    <numFmt numFmtId="176" formatCode="#,##0.0;[Red]\-#,##0.0"/>
    <numFmt numFmtId="177" formatCode="0.0"/>
    <numFmt numFmtId="178" formatCode="#\ ##0.0"/>
    <numFmt numFmtId="179" formatCode="###\ ###\ ##0"/>
    <numFmt numFmtId="180" formatCode="###\ ###\ ##0.0"/>
    <numFmt numFmtId="181" formatCode="###\ ##0.0"/>
    <numFmt numFmtId="182" formatCode="#\ ##0.00"/>
    <numFmt numFmtId="183" formatCode="###\ ###\ ##0.00"/>
    <numFmt numFmtId="184" formatCode="#\ ###\ ##0.00"/>
    <numFmt numFmtId="185" formatCode="#\ ###\ ##0"/>
    <numFmt numFmtId="186" formatCode="[$€]#,##0.00_);[Red]\([$€]#,##0.00\)"/>
    <numFmt numFmtId="187" formatCode="##0.00"/>
    <numFmt numFmtId="188" formatCode="#\ ###\ ##0.0"/>
    <numFmt numFmtId="189" formatCode="#\ ###\ ###\ ##0"/>
    <numFmt numFmtId="190" formatCode="#\ ###\ ###\ ###\ ##0.0"/>
    <numFmt numFmtId="191" formatCode="0.000"/>
    <numFmt numFmtId="192" formatCode="###,##0"/>
    <numFmt numFmtId="193" formatCode="###,##0.0"/>
    <numFmt numFmtId="194" formatCode="###,##0.00"/>
    <numFmt numFmtId="195" formatCode="#\ ##0;\-#\ ##0"/>
    <numFmt numFmtId="196" formatCode="0.00;\-0.00"/>
    <numFmt numFmtId="197" formatCode="#\ ###\ ###"/>
    <numFmt numFmtId="198" formatCode="#\ ##0.0;\-#\ ##0.0"/>
    <numFmt numFmtId="199" formatCode="\$#,##0\ ;\(\$#,##0\)"/>
    <numFmt numFmtId="200" formatCode="#,##0.0"/>
    <numFmt numFmtId="201" formatCode="#\ ###\ ###\ ###\ ##0.00"/>
    <numFmt numFmtId="202" formatCode="#\ ###\ ###\ ###\ ##0"/>
    <numFmt numFmtId="203" formatCode="#\ ###\ ##0.0;\-#\ ###\ ##0.0"/>
    <numFmt numFmtId="204" formatCode="#\ ###\ ###\ ###\ ###\ ##0"/>
    <numFmt numFmtId="205" formatCode="0.0%"/>
    <numFmt numFmtId="206" formatCode="#,##0.000"/>
    <numFmt numFmtId="207" formatCode="#,##0.0000"/>
    <numFmt numFmtId="208" formatCode="#.0\ ###\ ###\ ###\ ##0"/>
    <numFmt numFmtId="209" formatCode="#.00\ ###\ ###\ ###\ ##0"/>
    <numFmt numFmtId="210" formatCode="#.\ ###\ ###\ ###\ ##0"/>
    <numFmt numFmtId="211" formatCode="#\ ###\ ###\ ##0.0;\-#\ ###\ ###\ ##0.0"/>
    <numFmt numFmtId="212" formatCode="0.0_ ;\-0.0\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##\ ###\ ###\ ##0.0;\-##\ ###\ ###\ ##0.0"/>
    <numFmt numFmtId="218" formatCode="[$-C0A]dddd\,\ dd&quot; de &quot;mmmm&quot; de &quot;yyyy"/>
    <numFmt numFmtId="219" formatCode="###\ ###\ ###\ ##0.0;\-###\ ###\ ###\ ##0.0"/>
    <numFmt numFmtId="220" formatCode="####\ ###\ ###\ ##0.0;\-####\ ###\ ###\ ##0.0"/>
    <numFmt numFmtId="221" formatCode="#####\ ###\ ###\ ##0.0;\-#####\ ###\ ###\ ##0.0"/>
    <numFmt numFmtId="222" formatCode="0.00_ ;\-0.00\ "/>
    <numFmt numFmtId="223" formatCode="#.0\ ###\ ###"/>
    <numFmt numFmtId="224" formatCode="#.00\ ###\ ###"/>
  </numFmts>
  <fonts count="101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0"/>
      <name val="Arial"/>
      <family val="2"/>
    </font>
    <font>
      <b/>
      <sz val="11"/>
      <name val="Arial"/>
      <family val="2"/>
    </font>
    <font>
      <b/>
      <sz val="14"/>
      <name val="Fujiyama"/>
      <family val="0"/>
    </font>
    <font>
      <sz val="7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Gill Sans"/>
      <family val="2"/>
    </font>
    <font>
      <sz val="12"/>
      <name val="Gill Sans"/>
      <family val="2"/>
    </font>
    <font>
      <b/>
      <sz val="20"/>
      <name val="Gill Sans"/>
      <family val="2"/>
    </font>
    <font>
      <b/>
      <sz val="11"/>
      <name val="Gill Sans"/>
      <family val="2"/>
    </font>
    <font>
      <sz val="11"/>
      <name val="Gill Sans"/>
      <family val="2"/>
    </font>
    <font>
      <b/>
      <sz val="12"/>
      <name val="Gill Sans"/>
      <family val="2"/>
    </font>
    <font>
      <sz val="20"/>
      <name val="Gill Sans"/>
      <family val="2"/>
    </font>
    <font>
      <b/>
      <vertAlign val="superscript"/>
      <sz val="12"/>
      <name val="Gill Sans"/>
      <family val="2"/>
    </font>
    <font>
      <sz val="12.5"/>
      <name val="Gill Sans"/>
      <family val="2"/>
    </font>
    <font>
      <sz val="14"/>
      <name val="Gill Sans"/>
      <family val="2"/>
    </font>
    <font>
      <b/>
      <sz val="16"/>
      <name val="Gill Sans"/>
      <family val="2"/>
    </font>
    <font>
      <sz val="11"/>
      <color indexed="10"/>
      <name val="Gill Sans"/>
      <family val="2"/>
    </font>
    <font>
      <sz val="11"/>
      <color indexed="12"/>
      <name val="Gill Sans"/>
      <family val="2"/>
    </font>
    <font>
      <sz val="13"/>
      <name val="Arial"/>
      <family val="2"/>
    </font>
    <font>
      <sz val="12"/>
      <name val="Gotham Medium"/>
      <family val="0"/>
    </font>
    <font>
      <sz val="13"/>
      <name val="Gotham Medium"/>
      <family val="0"/>
    </font>
    <font>
      <sz val="10"/>
      <name val="Gotham Medium"/>
      <family val="0"/>
    </font>
    <font>
      <sz val="10"/>
      <name val="Gotham Book"/>
      <family val="0"/>
    </font>
    <font>
      <b/>
      <sz val="10"/>
      <name val="Gotham Book"/>
      <family val="0"/>
    </font>
    <font>
      <sz val="8"/>
      <name val="Gotham Book"/>
      <family val="0"/>
    </font>
    <font>
      <sz val="10"/>
      <name val="Gill Sans"/>
      <family val="2"/>
    </font>
    <font>
      <b/>
      <vertAlign val="superscript"/>
      <sz val="10"/>
      <name val="Gotham Book"/>
      <family val="0"/>
    </font>
    <font>
      <vertAlign val="superscript"/>
      <sz val="10"/>
      <name val="Gotham Book"/>
      <family val="0"/>
    </font>
    <font>
      <sz val="13"/>
      <name val="Gotham Book"/>
      <family val="0"/>
    </font>
    <font>
      <b/>
      <sz val="12"/>
      <name val="Gotham Medium"/>
      <family val="0"/>
    </font>
    <font>
      <b/>
      <sz val="10"/>
      <name val="Gotham Medium"/>
      <family val="0"/>
    </font>
    <font>
      <sz val="8"/>
      <name val="Gill Sans"/>
      <family val="2"/>
    </font>
    <font>
      <sz val="10"/>
      <name val="Gotham Bok"/>
      <family val="0"/>
    </font>
    <font>
      <sz val="12"/>
      <color indexed="63"/>
      <name val="Gotham Medium"/>
      <family val="0"/>
    </font>
    <font>
      <b/>
      <sz val="8"/>
      <color indexed="63"/>
      <name val="Gotham Book"/>
      <family val="0"/>
    </font>
    <font>
      <vertAlign val="superscript"/>
      <sz val="10"/>
      <color indexed="63"/>
      <name val="Gotham Book"/>
      <family val="0"/>
    </font>
    <font>
      <sz val="8"/>
      <name val="Helv"/>
      <family val="0"/>
    </font>
    <font>
      <b/>
      <sz val="8"/>
      <name val="Helv"/>
      <family val="0"/>
    </font>
    <font>
      <b/>
      <sz val="10"/>
      <name val="Gotham Bok"/>
      <family val="0"/>
    </font>
    <font>
      <sz val="12"/>
      <name val="Gotham Book"/>
      <family val="0"/>
    </font>
    <font>
      <sz val="11"/>
      <name val="Gotham Book"/>
      <family val="0"/>
    </font>
    <font>
      <b/>
      <sz val="8"/>
      <name val="Gotham Book"/>
      <family val="0"/>
    </font>
    <font>
      <sz val="10"/>
      <color indexed="63"/>
      <name val="Gotham Medium"/>
      <family val="0"/>
    </font>
    <font>
      <sz val="9"/>
      <color indexed="63"/>
      <name val="Gotham Medium"/>
      <family val="0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9"/>
      <name val="Gill Sans"/>
      <family val="2"/>
    </font>
    <font>
      <sz val="10"/>
      <color indexed="63"/>
      <name val="Gotham Book"/>
      <family val="0"/>
    </font>
    <font>
      <sz val="10"/>
      <color indexed="9"/>
      <name val="Gotham Book"/>
      <family val="0"/>
    </font>
    <font>
      <sz val="12"/>
      <color indexed="9"/>
      <name val="Gill Sans"/>
      <family val="2"/>
    </font>
    <font>
      <sz val="16"/>
      <color indexed="63"/>
      <name val="Gotham Medium"/>
      <family val="0"/>
    </font>
    <font>
      <sz val="14"/>
      <color indexed="63"/>
      <name val="Gotham Medium"/>
      <family val="0"/>
    </font>
    <font>
      <sz val="18"/>
      <color indexed="63"/>
      <name val="Gotham Bold"/>
      <family val="0"/>
    </font>
    <font>
      <b/>
      <sz val="1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0"/>
      <name val="Gill Sans"/>
      <family val="2"/>
    </font>
    <font>
      <sz val="10"/>
      <color theme="1"/>
      <name val="Gotham Book"/>
      <family val="0"/>
    </font>
    <font>
      <sz val="10"/>
      <color theme="0"/>
      <name val="Gotham Book"/>
      <family val="0"/>
    </font>
    <font>
      <sz val="12"/>
      <color theme="0"/>
      <name val="Gill San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100">
    <xf numFmtId="175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9" fillId="1" borderId="1" applyBorder="0" applyAlignment="0">
      <protection/>
    </xf>
    <xf numFmtId="192" fontId="10" fillId="0" borderId="0" applyFill="0" applyBorder="0" applyProtection="0">
      <alignment horizontal="right"/>
    </xf>
    <xf numFmtId="193" fontId="10" fillId="0" borderId="0" applyFill="0" applyBorder="0" applyProtection="0">
      <alignment horizontal="right"/>
    </xf>
    <xf numFmtId="194" fontId="10" fillId="0" borderId="0" applyFill="0" applyBorder="0" applyProtection="0">
      <alignment horizontal="right"/>
    </xf>
    <xf numFmtId="0" fontId="83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4" fillId="21" borderId="2" applyNumberFormat="0" applyAlignment="0" applyProtection="0"/>
    <xf numFmtId="0" fontId="13" fillId="0" borderId="0" applyNumberFormat="0" applyFill="0" applyBorder="0" applyProtection="0">
      <alignment horizontal="left" vertical="top"/>
    </xf>
    <xf numFmtId="0" fontId="85" fillId="22" borderId="3" applyNumberFormat="0" applyAlignment="0" applyProtection="0"/>
    <xf numFmtId="0" fontId="86" fillId="0" borderId="4" applyNumberFormat="0" applyFill="0" applyAlignment="0" applyProtection="0"/>
    <xf numFmtId="175" fontId="0" fillId="0" borderId="0">
      <alignment/>
      <protection/>
    </xf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0" fontId="10" fillId="0" borderId="0" applyNumberFormat="0" applyFill="0" applyBorder="0" applyProtection="0">
      <alignment horizontal="left" vertical="top" wrapText="1"/>
    </xf>
    <xf numFmtId="0" fontId="10" fillId="0" borderId="0" applyNumberFormat="0" applyFill="0" applyBorder="0" applyProtection="0">
      <alignment horizontal="right" vertical="top"/>
    </xf>
    <xf numFmtId="0" fontId="10" fillId="0" borderId="0" applyNumberFormat="0" applyFill="0" applyBorder="0" applyProtection="0">
      <alignment horizontal="left" vertical="top"/>
    </xf>
    <xf numFmtId="0" fontId="87" fillId="0" borderId="0" applyNumberFormat="0" applyFill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8" fillId="29" borderId="2" applyNumberFormat="0" applyAlignment="0" applyProtection="0"/>
    <xf numFmtId="0" fontId="10" fillId="0" borderId="0" applyNumberFormat="0" applyFill="0" applyBorder="0" applyProtection="0">
      <alignment horizontal="right" vertical="top"/>
    </xf>
    <xf numFmtId="186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197" fontId="8" fillId="0" borderId="0" applyFill="0" applyBorder="0" applyProtection="0">
      <alignment horizont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Alignment="0" applyProtection="0"/>
    <xf numFmtId="195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9" fontId="14" fillId="0" borderId="0" applyFont="0" applyFill="0" applyBorder="0" applyAlignment="0" applyProtection="0"/>
    <xf numFmtId="0" fontId="90" fillId="31" borderId="0" applyNumberFormat="0" applyBorder="0" applyAlignment="0" applyProtection="0"/>
    <xf numFmtId="0" fontId="81" fillId="0" borderId="0">
      <alignment/>
      <protection/>
    </xf>
    <xf numFmtId="175" fontId="0" fillId="0" borderId="0">
      <alignment vertical="top"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16" fillId="0" borderId="0" applyNumberFormat="0" applyFill="0" applyBorder="0" applyProtection="0">
      <alignment horizontal="right" vertical="top"/>
    </xf>
    <xf numFmtId="0" fontId="10" fillId="0" borderId="0" applyNumberFormat="0" applyFill="0" applyBorder="0" applyProtection="0">
      <alignment vertical="top"/>
    </xf>
    <xf numFmtId="9" fontId="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91" fillId="21" borderId="8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10" applyNumberFormat="0" applyFill="0" applyAlignment="0" applyProtection="0"/>
    <xf numFmtId="0" fontId="87" fillId="0" borderId="11" applyNumberFormat="0" applyFill="0" applyAlignment="0" applyProtection="0"/>
    <xf numFmtId="0" fontId="14" fillId="0" borderId="12" applyNumberFormat="0" applyFont="0" applyFill="0" applyAlignment="0" applyProtection="0"/>
    <xf numFmtId="0" fontId="14" fillId="0" borderId="12" applyNumberFormat="0" applyFont="0" applyFill="0" applyAlignment="0" applyProtection="0"/>
  </cellStyleXfs>
  <cellXfs count="525">
    <xf numFmtId="175" fontId="0" fillId="0" borderId="0" xfId="0" applyAlignment="1">
      <alignment vertical="top"/>
    </xf>
    <xf numFmtId="175" fontId="19" fillId="0" borderId="0" xfId="0" applyFont="1" applyFill="1" applyAlignment="1">
      <alignment vertical="top"/>
    </xf>
    <xf numFmtId="175" fontId="22" fillId="0" borderId="0" xfId="0" applyFont="1" applyFill="1" applyBorder="1" applyAlignment="1">
      <alignment vertical="center"/>
    </xf>
    <xf numFmtId="175" fontId="19" fillId="0" borderId="0" xfId="0" applyFont="1" applyFill="1" applyBorder="1" applyAlignment="1">
      <alignment horizontal="right" vertical="center"/>
    </xf>
    <xf numFmtId="175" fontId="19" fillId="0" borderId="0" xfId="0" applyFont="1" applyFill="1" applyAlignment="1">
      <alignment vertical="center"/>
    </xf>
    <xf numFmtId="175" fontId="18" fillId="0" borderId="0" xfId="0" applyFont="1" applyFill="1" applyBorder="1" applyAlignment="1">
      <alignment vertical="center"/>
    </xf>
    <xf numFmtId="175" fontId="18" fillId="0" borderId="0" xfId="0" applyFont="1" applyFill="1" applyBorder="1" applyAlignment="1">
      <alignment horizontal="left" vertical="center" wrapText="1"/>
    </xf>
    <xf numFmtId="175" fontId="21" fillId="0" borderId="0" xfId="0" applyFont="1" applyFill="1" applyAlignment="1">
      <alignment horizontal="left" vertical="center"/>
    </xf>
    <xf numFmtId="175" fontId="22" fillId="0" borderId="0" xfId="0" applyFont="1" applyFill="1" applyAlignment="1">
      <alignment vertical="center"/>
    </xf>
    <xf numFmtId="175" fontId="19" fillId="0" borderId="0" xfId="0" applyFont="1" applyFill="1" applyAlignment="1">
      <alignment horizontal="right" vertical="center"/>
    </xf>
    <xf numFmtId="175" fontId="19" fillId="0" borderId="0" xfId="0" applyFont="1" applyFill="1" applyBorder="1" applyAlignment="1">
      <alignment vertical="center"/>
    </xf>
    <xf numFmtId="175" fontId="19" fillId="0" borderId="0" xfId="0" applyFont="1" applyFill="1" applyBorder="1" applyAlignment="1">
      <alignment horizontal="center" vertical="center"/>
    </xf>
    <xf numFmtId="175" fontId="19" fillId="0" borderId="0" xfId="0" applyFont="1" applyBorder="1" applyAlignment="1">
      <alignment vertical="center"/>
    </xf>
    <xf numFmtId="175" fontId="19" fillId="0" borderId="0" xfId="0" applyFont="1" applyAlignment="1">
      <alignment vertical="center"/>
    </xf>
    <xf numFmtId="175" fontId="22" fillId="0" borderId="0" xfId="0" applyFont="1" applyAlignment="1">
      <alignment vertical="center"/>
    </xf>
    <xf numFmtId="175" fontId="22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right" vertical="center"/>
    </xf>
    <xf numFmtId="179" fontId="22" fillId="0" borderId="0" xfId="0" applyNumberFormat="1" applyFont="1" applyFill="1" applyBorder="1" applyAlignment="1" applyProtection="1">
      <alignment horizontal="right" vertical="center"/>
      <protection/>
    </xf>
    <xf numFmtId="175" fontId="22" fillId="0" borderId="0" xfId="0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right" vertical="center"/>
    </xf>
    <xf numFmtId="175" fontId="19" fillId="0" borderId="0" xfId="0" applyFont="1" applyAlignment="1">
      <alignment horizontal="right" vertical="center"/>
    </xf>
    <xf numFmtId="39" fontId="23" fillId="0" borderId="0" xfId="0" applyNumberFormat="1" applyFont="1" applyFill="1" applyBorder="1" applyAlignment="1" applyProtection="1">
      <alignment horizontal="left" vertical="center"/>
      <protection/>
    </xf>
    <xf numFmtId="177" fontId="19" fillId="0" borderId="0" xfId="0" applyNumberFormat="1" applyFont="1" applyFill="1" applyAlignment="1">
      <alignment vertical="center"/>
    </xf>
    <xf numFmtId="177" fontId="19" fillId="0" borderId="0" xfId="0" applyNumberFormat="1" applyFont="1" applyAlignment="1">
      <alignment vertical="center"/>
    </xf>
    <xf numFmtId="191" fontId="19" fillId="0" borderId="0" xfId="0" applyNumberFormat="1" applyFont="1" applyFill="1" applyAlignment="1">
      <alignment vertical="center"/>
    </xf>
    <xf numFmtId="175" fontId="18" fillId="0" borderId="0" xfId="0" applyFont="1" applyBorder="1" applyAlignment="1">
      <alignment horizontal="left" vertical="center" wrapText="1"/>
    </xf>
    <xf numFmtId="175" fontId="20" fillId="0" borderId="0" xfId="0" applyFont="1" applyBorder="1" applyAlignment="1">
      <alignment vertical="center"/>
    </xf>
    <xf numFmtId="39" fontId="22" fillId="0" borderId="0" xfId="0" applyNumberFormat="1" applyFont="1" applyFill="1" applyBorder="1" applyAlignment="1" applyProtection="1">
      <alignment horizontal="right" vertical="center"/>
      <protection/>
    </xf>
    <xf numFmtId="39" fontId="19" fillId="0" borderId="0" xfId="0" applyNumberFormat="1" applyFont="1" applyFill="1" applyBorder="1" applyAlignment="1" applyProtection="1">
      <alignment horizontal="center" vertical="center"/>
      <protection/>
    </xf>
    <xf numFmtId="175" fontId="24" fillId="0" borderId="0" xfId="0" applyFont="1" applyFill="1" applyBorder="1" applyAlignment="1">
      <alignment vertical="center"/>
    </xf>
    <xf numFmtId="175" fontId="19" fillId="0" borderId="0" xfId="0" applyFont="1" applyFill="1" applyBorder="1" applyAlignment="1">
      <alignment vertical="center" wrapText="1"/>
    </xf>
    <xf numFmtId="175" fontId="24" fillId="0" borderId="0" xfId="0" applyFont="1" applyFill="1" applyBorder="1" applyAlignment="1">
      <alignment vertical="center" wrapText="1"/>
    </xf>
    <xf numFmtId="175" fontId="20" fillId="0" borderId="0" xfId="0" applyFont="1" applyFill="1" applyBorder="1" applyAlignment="1">
      <alignment horizontal="left" vertical="center" wrapText="1"/>
    </xf>
    <xf numFmtId="181" fontId="22" fillId="0" borderId="0" xfId="0" applyNumberFormat="1" applyFont="1" applyFill="1" applyBorder="1" applyAlignment="1">
      <alignment horizontal="right" vertical="center"/>
    </xf>
    <xf numFmtId="175" fontId="26" fillId="0" borderId="0" xfId="0" applyFont="1" applyFill="1" applyBorder="1" applyAlignment="1">
      <alignment vertical="center"/>
    </xf>
    <xf numFmtId="175" fontId="26" fillId="0" borderId="0" xfId="0" applyFont="1" applyFill="1" applyBorder="1" applyAlignment="1">
      <alignment horizontal="right" vertical="center"/>
    </xf>
    <xf numFmtId="175" fontId="26" fillId="0" borderId="0" xfId="0" applyFont="1" applyFill="1" applyAlignment="1">
      <alignment vertical="center"/>
    </xf>
    <xf numFmtId="175" fontId="26" fillId="0" borderId="0" xfId="0" applyFont="1" applyFill="1" applyBorder="1" applyAlignment="1">
      <alignment horizontal="left" vertical="center"/>
    </xf>
    <xf numFmtId="182" fontId="22" fillId="0" borderId="0" xfId="0" applyNumberFormat="1" applyFont="1" applyFill="1" applyBorder="1" applyAlignment="1" quotePrefix="1">
      <alignment horizontal="right" vertical="center"/>
    </xf>
    <xf numFmtId="2" fontId="22" fillId="0" borderId="0" xfId="0" applyNumberFormat="1" applyFont="1" applyFill="1" applyAlignment="1">
      <alignment vertical="center"/>
    </xf>
    <xf numFmtId="2" fontId="19" fillId="0" borderId="0" xfId="0" applyNumberFormat="1" applyFont="1" applyFill="1" applyAlignment="1">
      <alignment vertical="center"/>
    </xf>
    <xf numFmtId="2" fontId="22" fillId="0" borderId="0" xfId="0" applyNumberFormat="1" applyFont="1" applyFill="1" applyAlignment="1">
      <alignment horizontal="center" vertical="center"/>
    </xf>
    <xf numFmtId="175" fontId="23" fillId="0" borderId="0" xfId="0" applyFont="1" applyFill="1" applyBorder="1" applyAlignment="1">
      <alignment horizontal="left" vertical="center"/>
    </xf>
    <xf numFmtId="175" fontId="19" fillId="0" borderId="0" xfId="0" applyFont="1" applyFill="1" applyBorder="1" applyAlignment="1">
      <alignment horizontal="right" vertical="center" wrapText="1"/>
    </xf>
    <xf numFmtId="2" fontId="21" fillId="0" borderId="0" xfId="0" applyNumberFormat="1" applyFont="1" applyFill="1" applyBorder="1" applyAlignment="1">
      <alignment horizontal="right" vertical="center"/>
    </xf>
    <xf numFmtId="175" fontId="19" fillId="33" borderId="0" xfId="0" applyFont="1" applyFill="1" applyAlignment="1">
      <alignment vertical="center"/>
    </xf>
    <xf numFmtId="175" fontId="19" fillId="33" borderId="0" xfId="0" applyFont="1" applyFill="1" applyBorder="1" applyAlignment="1">
      <alignment vertical="center"/>
    </xf>
    <xf numFmtId="175" fontId="26" fillId="0" borderId="0" xfId="0" applyFont="1" applyFill="1" applyAlignment="1">
      <alignment horizontal="center" vertical="center"/>
    </xf>
    <xf numFmtId="175" fontId="22" fillId="33" borderId="0" xfId="0" applyFont="1" applyFill="1" applyBorder="1" applyAlignment="1">
      <alignment horizontal="center" vertical="center"/>
    </xf>
    <xf numFmtId="2" fontId="19" fillId="33" borderId="0" xfId="0" applyNumberFormat="1" applyFont="1" applyFill="1" applyBorder="1" applyAlignment="1">
      <alignment horizontal="right" vertical="center"/>
    </xf>
    <xf numFmtId="175" fontId="24" fillId="0" borderId="0" xfId="0" applyFont="1" applyFill="1" applyBorder="1" applyAlignment="1">
      <alignment horizontal="right" vertical="center"/>
    </xf>
    <xf numFmtId="175" fontId="19" fillId="0" borderId="5" xfId="0" applyFont="1" applyFill="1" applyBorder="1" applyAlignment="1">
      <alignment vertical="center"/>
    </xf>
    <xf numFmtId="182" fontId="19" fillId="0" borderId="0" xfId="0" applyNumberFormat="1" applyFont="1" applyFill="1" applyBorder="1" applyAlignment="1">
      <alignment horizontal="right" vertical="center"/>
    </xf>
    <xf numFmtId="174" fontId="19" fillId="0" borderId="0" xfId="0" applyNumberFormat="1" applyFont="1" applyFill="1" applyBorder="1" applyAlignment="1">
      <alignment horizontal="right" vertical="center"/>
    </xf>
    <xf numFmtId="39" fontId="26" fillId="0" borderId="0" xfId="0" applyNumberFormat="1" applyFont="1" applyFill="1" applyBorder="1" applyAlignment="1" applyProtection="1">
      <alignment vertical="center"/>
      <protection/>
    </xf>
    <xf numFmtId="175" fontId="0" fillId="0" borderId="6" xfId="0" applyBorder="1" applyAlignment="1">
      <alignment vertical="top"/>
    </xf>
    <xf numFmtId="181" fontId="97" fillId="0" borderId="0" xfId="0" applyNumberFormat="1" applyFont="1" applyFill="1" applyBorder="1" applyAlignment="1">
      <alignment horizontal="right" vertical="center"/>
    </xf>
    <xf numFmtId="175" fontId="32" fillId="0" borderId="0" xfId="0" applyFont="1" applyAlignment="1">
      <alignment vertical="center"/>
    </xf>
    <xf numFmtId="175" fontId="32" fillId="0" borderId="0" xfId="0" applyFont="1" applyAlignment="1">
      <alignment horizontal="right" vertical="center"/>
    </xf>
    <xf numFmtId="175" fontId="33" fillId="0" borderId="0" xfId="0" applyFont="1" applyBorder="1" applyAlignment="1">
      <alignment vertical="center"/>
    </xf>
    <xf numFmtId="175" fontId="33" fillId="0" borderId="0" xfId="0" applyFont="1" applyAlignment="1">
      <alignment vertical="center"/>
    </xf>
    <xf numFmtId="175" fontId="33" fillId="0" borderId="0" xfId="0" applyFont="1" applyAlignment="1">
      <alignment horizontal="right" vertical="center"/>
    </xf>
    <xf numFmtId="175" fontId="33" fillId="0" borderId="0" xfId="0" applyFont="1" applyBorder="1" applyAlignment="1">
      <alignment horizontal="left" vertical="center" wrapText="1"/>
    </xf>
    <xf numFmtId="175" fontId="34" fillId="0" borderId="0" xfId="0" applyFont="1" applyFill="1" applyBorder="1" applyAlignment="1">
      <alignment horizontal="left" vertical="center"/>
    </xf>
    <xf numFmtId="185" fontId="34" fillId="0" borderId="0" xfId="0" applyNumberFormat="1" applyFont="1" applyFill="1" applyBorder="1" applyAlignment="1" applyProtection="1">
      <alignment horizontal="right" vertical="center"/>
      <protection/>
    </xf>
    <xf numFmtId="4" fontId="34" fillId="0" borderId="0" xfId="0" applyNumberFormat="1" applyFont="1" applyFill="1" applyBorder="1" applyAlignment="1" applyProtection="1">
      <alignment horizontal="right" vertical="center"/>
      <protection/>
    </xf>
    <xf numFmtId="175" fontId="34" fillId="0" borderId="0" xfId="0" applyFont="1" applyAlignment="1">
      <alignment vertical="center"/>
    </xf>
    <xf numFmtId="175" fontId="34" fillId="0" borderId="0" xfId="0" applyFont="1" applyAlignment="1">
      <alignment horizontal="right" vertical="center"/>
    </xf>
    <xf numFmtId="2" fontId="32" fillId="0" borderId="13" xfId="0" applyNumberFormat="1" applyFont="1" applyFill="1" applyBorder="1" applyAlignment="1">
      <alignment horizontal="right" vertical="center" wrapText="1"/>
    </xf>
    <xf numFmtId="2" fontId="32" fillId="0" borderId="13" xfId="0" applyNumberFormat="1" applyFont="1" applyFill="1" applyBorder="1" applyAlignment="1">
      <alignment horizontal="right" vertical="center"/>
    </xf>
    <xf numFmtId="175" fontId="35" fillId="34" borderId="0" xfId="0" applyFont="1" applyFill="1" applyBorder="1" applyAlignment="1">
      <alignment horizontal="left" vertical="center"/>
    </xf>
    <xf numFmtId="179" fontId="35" fillId="34" borderId="0" xfId="0" applyNumberFormat="1" applyFont="1" applyFill="1" applyBorder="1" applyAlignment="1" applyProtection="1">
      <alignment horizontal="right" vertical="center"/>
      <protection/>
    </xf>
    <xf numFmtId="4" fontId="35" fillId="34" borderId="0" xfId="0" applyNumberFormat="1" applyFont="1" applyFill="1" applyBorder="1" applyAlignment="1" applyProtection="1">
      <alignment horizontal="right" vertical="center"/>
      <protection/>
    </xf>
    <xf numFmtId="2" fontId="35" fillId="0" borderId="0" xfId="0" applyNumberFormat="1" applyFont="1" applyAlignment="1">
      <alignment vertical="center"/>
    </xf>
    <xf numFmtId="175" fontId="35" fillId="0" borderId="0" xfId="0" applyFont="1" applyAlignment="1">
      <alignment vertical="center"/>
    </xf>
    <xf numFmtId="175" fontId="35" fillId="0" borderId="0" xfId="0" applyFont="1" applyFill="1" applyBorder="1" applyAlignment="1">
      <alignment horizontal="left" vertical="center"/>
    </xf>
    <xf numFmtId="179" fontId="35" fillId="0" borderId="0" xfId="0" applyNumberFormat="1" applyFont="1" applyFill="1" applyBorder="1" applyAlignment="1" applyProtection="1">
      <alignment horizontal="right" vertical="center"/>
      <protection/>
    </xf>
    <xf numFmtId="4" fontId="35" fillId="0" borderId="0" xfId="0" applyNumberFormat="1" applyFont="1" applyFill="1" applyBorder="1" applyAlignment="1" applyProtection="1">
      <alignment horizontal="right" vertical="center"/>
      <protection/>
    </xf>
    <xf numFmtId="175" fontId="35" fillId="0" borderId="0" xfId="0" applyFont="1" applyAlignment="1">
      <alignment horizontal="right" vertical="center"/>
    </xf>
    <xf numFmtId="175" fontId="36" fillId="0" borderId="0" xfId="0" applyFont="1" applyFill="1" applyBorder="1" applyAlignment="1">
      <alignment horizontal="left" vertical="center"/>
    </xf>
    <xf numFmtId="175" fontId="36" fillId="34" borderId="0" xfId="0" applyFont="1" applyFill="1" applyBorder="1" applyAlignment="1">
      <alignment horizontal="left" vertical="center"/>
    </xf>
    <xf numFmtId="2" fontId="35" fillId="0" borderId="0" xfId="0" applyNumberFormat="1" applyFont="1" applyFill="1" applyAlignment="1">
      <alignment vertical="center"/>
    </xf>
    <xf numFmtId="175" fontId="35" fillId="0" borderId="0" xfId="0" applyFont="1" applyFill="1" applyAlignment="1">
      <alignment vertical="center"/>
    </xf>
    <xf numFmtId="175" fontId="35" fillId="0" borderId="0" xfId="0" applyFont="1" applyFill="1" applyAlignment="1">
      <alignment horizontal="right" vertical="center"/>
    </xf>
    <xf numFmtId="175" fontId="35" fillId="0" borderId="0" xfId="0" applyFont="1" applyFill="1" applyBorder="1" applyAlignment="1">
      <alignment vertical="center"/>
    </xf>
    <xf numFmtId="175" fontId="35" fillId="34" borderId="0" xfId="0" applyFont="1" applyFill="1" applyBorder="1" applyAlignment="1">
      <alignment vertical="center"/>
    </xf>
    <xf numFmtId="179" fontId="35" fillId="35" borderId="0" xfId="0" applyNumberFormat="1" applyFont="1" applyFill="1" applyBorder="1" applyAlignment="1" applyProtection="1">
      <alignment horizontal="right" vertical="center"/>
      <protection/>
    </xf>
    <xf numFmtId="185" fontId="35" fillId="0" borderId="0" xfId="0" applyNumberFormat="1" applyFont="1" applyFill="1" applyBorder="1" applyAlignment="1">
      <alignment horizontal="right" vertical="center"/>
    </xf>
    <xf numFmtId="185" fontId="35" fillId="34" borderId="0" xfId="0" applyNumberFormat="1" applyFont="1" applyFill="1" applyBorder="1" applyAlignment="1" applyProtection="1">
      <alignment horizontal="right" vertical="center"/>
      <protection/>
    </xf>
    <xf numFmtId="39" fontId="35" fillId="0" borderId="0" xfId="0" applyNumberFormat="1" applyFont="1" applyFill="1" applyBorder="1" applyAlignment="1" applyProtection="1">
      <alignment horizontal="right" vertical="center"/>
      <protection/>
    </xf>
    <xf numFmtId="2" fontId="35" fillId="33" borderId="0" xfId="0" applyNumberFormat="1" applyFont="1" applyFill="1" applyAlignment="1">
      <alignment vertical="center"/>
    </xf>
    <xf numFmtId="175" fontId="35" fillId="33" borderId="0" xfId="0" applyFont="1" applyFill="1" applyAlignment="1">
      <alignment vertical="center"/>
    </xf>
    <xf numFmtId="175" fontId="35" fillId="33" borderId="0" xfId="0" applyFont="1" applyFill="1" applyAlignment="1">
      <alignment horizontal="right" vertical="center"/>
    </xf>
    <xf numFmtId="2" fontId="35" fillId="0" borderId="0" xfId="0" applyNumberFormat="1" applyFont="1" applyFill="1" applyBorder="1" applyAlignment="1">
      <alignment horizontal="right" vertical="center"/>
    </xf>
    <xf numFmtId="177" fontId="35" fillId="0" borderId="0" xfId="0" applyNumberFormat="1" applyFont="1" applyFill="1" applyBorder="1" applyAlignment="1">
      <alignment horizontal="right" vertical="center"/>
    </xf>
    <xf numFmtId="175" fontId="35" fillId="0" borderId="0" xfId="0" applyFont="1" applyFill="1" applyBorder="1" applyAlignment="1">
      <alignment horizontal="right" vertical="center"/>
    </xf>
    <xf numFmtId="2" fontId="35" fillId="34" borderId="0" xfId="0" applyNumberFormat="1" applyFont="1" applyFill="1" applyBorder="1" applyAlignment="1">
      <alignment horizontal="right" vertical="center"/>
    </xf>
    <xf numFmtId="179" fontId="35" fillId="0" borderId="0" xfId="0" applyNumberFormat="1" applyFont="1" applyFill="1" applyBorder="1" applyAlignment="1">
      <alignment horizontal="right" vertical="center"/>
    </xf>
    <xf numFmtId="175" fontId="35" fillId="0" borderId="0" xfId="0" applyFont="1" applyBorder="1" applyAlignment="1">
      <alignment vertical="center"/>
    </xf>
    <xf numFmtId="185" fontId="35" fillId="34" borderId="0" xfId="0" applyNumberFormat="1" applyFont="1" applyFill="1" applyBorder="1" applyAlignment="1">
      <alignment horizontal="right" vertical="center"/>
    </xf>
    <xf numFmtId="39" fontId="35" fillId="33" borderId="0" xfId="0" applyNumberFormat="1" applyFont="1" applyFill="1" applyBorder="1" applyAlignment="1" applyProtection="1">
      <alignment horizontal="center" vertical="center"/>
      <protection/>
    </xf>
    <xf numFmtId="175" fontId="35" fillId="33" borderId="0" xfId="0" applyFont="1" applyFill="1" applyAlignment="1">
      <alignment horizontal="center" vertical="center"/>
    </xf>
    <xf numFmtId="180" fontId="35" fillId="0" borderId="0" xfId="0" applyNumberFormat="1" applyFont="1" applyFill="1" applyBorder="1" applyAlignment="1">
      <alignment horizontal="right" vertical="center"/>
    </xf>
    <xf numFmtId="39" fontId="35" fillId="0" borderId="0" xfId="0" applyNumberFormat="1" applyFont="1" applyFill="1" applyBorder="1" applyAlignment="1" applyProtection="1">
      <alignment horizontal="center" vertical="center"/>
      <protection/>
    </xf>
    <xf numFmtId="175" fontId="35" fillId="0" borderId="0" xfId="0" applyFont="1" applyFill="1" applyAlignment="1">
      <alignment horizontal="center" vertical="center"/>
    </xf>
    <xf numFmtId="185" fontId="35" fillId="0" borderId="0" xfId="0" applyNumberFormat="1" applyFont="1" applyFill="1" applyBorder="1" applyAlignment="1" applyProtection="1">
      <alignment horizontal="right" vertical="center"/>
      <protection/>
    </xf>
    <xf numFmtId="39" fontId="36" fillId="0" borderId="0" xfId="0" applyNumberFormat="1" applyFont="1" applyFill="1" applyBorder="1" applyAlignment="1" applyProtection="1">
      <alignment horizontal="left" vertical="center"/>
      <protection/>
    </xf>
    <xf numFmtId="175" fontId="35" fillId="35" borderId="0" xfId="0" applyFont="1" applyFill="1" applyBorder="1" applyAlignment="1">
      <alignment vertical="center"/>
    </xf>
    <xf numFmtId="4" fontId="35" fillId="35" borderId="0" xfId="0" applyNumberFormat="1" applyFont="1" applyFill="1" applyBorder="1" applyAlignment="1" applyProtection="1">
      <alignment horizontal="right" vertical="center"/>
      <protection/>
    </xf>
    <xf numFmtId="2" fontId="35" fillId="35" borderId="0" xfId="0" applyNumberFormat="1" applyFont="1" applyFill="1" applyAlignment="1">
      <alignment vertical="center"/>
    </xf>
    <xf numFmtId="175" fontId="35" fillId="35" borderId="0" xfId="0" applyFont="1" applyFill="1" applyAlignment="1">
      <alignment vertical="center"/>
    </xf>
    <xf numFmtId="175" fontId="35" fillId="35" borderId="0" xfId="0" applyFont="1" applyFill="1" applyAlignment="1">
      <alignment horizontal="right" vertical="center"/>
    </xf>
    <xf numFmtId="179" fontId="35" fillId="33" borderId="0" xfId="0" applyNumberFormat="1" applyFont="1" applyFill="1" applyBorder="1" applyAlignment="1" applyProtection="1">
      <alignment horizontal="right" vertical="center"/>
      <protection/>
    </xf>
    <xf numFmtId="179" fontId="35" fillId="0" borderId="0" xfId="0" applyNumberFormat="1" applyFont="1" applyAlignment="1">
      <alignment vertical="center"/>
    </xf>
    <xf numFmtId="202" fontId="35" fillId="0" borderId="0" xfId="0" applyNumberFormat="1" applyFont="1" applyFill="1" applyBorder="1" applyAlignment="1">
      <alignment horizontal="right" vertical="center"/>
    </xf>
    <xf numFmtId="202" fontId="35" fillId="0" borderId="0" xfId="0" applyNumberFormat="1" applyFont="1" applyFill="1" applyBorder="1" applyAlignment="1" applyProtection="1">
      <alignment horizontal="right" vertical="center"/>
      <protection/>
    </xf>
    <xf numFmtId="202" fontId="35" fillId="0" borderId="0" xfId="0" applyNumberFormat="1" applyFont="1" applyFill="1" applyBorder="1" applyAlignment="1">
      <alignment horizontal="center" vertical="center"/>
    </xf>
    <xf numFmtId="2" fontId="35" fillId="0" borderId="0" xfId="0" applyNumberFormat="1" applyFont="1" applyBorder="1" applyAlignment="1">
      <alignment vertical="center"/>
    </xf>
    <xf numFmtId="202" fontId="35" fillId="33" borderId="0" xfId="0" applyNumberFormat="1" applyFont="1" applyFill="1" applyBorder="1" applyAlignment="1">
      <alignment horizontal="right" vertical="center"/>
    </xf>
    <xf numFmtId="202" fontId="35" fillId="33" borderId="0" xfId="0" applyNumberFormat="1" applyFont="1" applyFill="1" applyBorder="1" applyAlignment="1" applyProtection="1">
      <alignment horizontal="right" vertical="center"/>
      <protection/>
    </xf>
    <xf numFmtId="202" fontId="35" fillId="33" borderId="0" xfId="0" applyNumberFormat="1" applyFont="1" applyFill="1" applyBorder="1" applyAlignment="1">
      <alignment horizontal="center" vertical="center"/>
    </xf>
    <xf numFmtId="2" fontId="35" fillId="34" borderId="0" xfId="0" applyNumberFormat="1" applyFont="1" applyFill="1" applyBorder="1" applyAlignment="1">
      <alignment vertical="center"/>
    </xf>
    <xf numFmtId="175" fontId="36" fillId="0" borderId="0" xfId="0" applyFont="1" applyFill="1" applyBorder="1" applyAlignment="1">
      <alignment vertical="center"/>
    </xf>
    <xf numFmtId="179" fontId="35" fillId="33" borderId="0" xfId="0" applyNumberFormat="1" applyFont="1" applyFill="1" applyBorder="1" applyAlignment="1">
      <alignment horizontal="right" vertical="center"/>
    </xf>
    <xf numFmtId="174" fontId="35" fillId="0" borderId="0" xfId="0" applyNumberFormat="1" applyFont="1" applyFill="1" applyBorder="1" applyAlignment="1" applyProtection="1">
      <alignment horizontal="right" vertical="center"/>
      <protection/>
    </xf>
    <xf numFmtId="37" fontId="35" fillId="0" borderId="0" xfId="0" applyNumberFormat="1" applyFont="1" applyFill="1" applyBorder="1" applyAlignment="1" applyProtection="1">
      <alignment horizontal="right" vertical="center"/>
      <protection/>
    </xf>
    <xf numFmtId="175" fontId="32" fillId="0" borderId="6" xfId="0" applyFont="1" applyFill="1" applyBorder="1" applyAlignment="1" quotePrefix="1">
      <alignment horizontal="right" vertical="center" wrapText="1"/>
    </xf>
    <xf numFmtId="175" fontId="37" fillId="0" borderId="0" xfId="0" applyFont="1" applyFill="1" applyBorder="1" applyAlignment="1">
      <alignment horizontal="left" vertical="center" wrapText="1"/>
    </xf>
    <xf numFmtId="175" fontId="37" fillId="0" borderId="0" xfId="0" applyFont="1" applyAlignment="1">
      <alignment vertical="center"/>
    </xf>
    <xf numFmtId="175" fontId="33" fillId="0" borderId="0" xfId="0" applyFont="1" applyFill="1" applyBorder="1" applyAlignment="1">
      <alignment vertical="center"/>
    </xf>
    <xf numFmtId="175" fontId="33" fillId="0" borderId="0" xfId="0" applyFont="1" applyFill="1" applyBorder="1" applyAlignment="1">
      <alignment horizontal="left" vertical="center" wrapText="1"/>
    </xf>
    <xf numFmtId="175" fontId="32" fillId="0" borderId="5" xfId="0" applyFont="1" applyFill="1" applyBorder="1" applyAlignment="1">
      <alignment horizontal="right" vertical="center" wrapText="1"/>
    </xf>
    <xf numFmtId="175" fontId="33" fillId="0" borderId="0" xfId="0" applyFont="1" applyFill="1" applyAlignment="1">
      <alignment vertical="center"/>
    </xf>
    <xf numFmtId="175" fontId="33" fillId="0" borderId="0" xfId="0" applyFont="1" applyFill="1" applyAlignment="1">
      <alignment horizontal="right" vertical="center"/>
    </xf>
    <xf numFmtId="175" fontId="33" fillId="0" borderId="0" xfId="0" applyFont="1" applyFill="1" applyAlignment="1">
      <alignment horizontal="left" vertical="center"/>
    </xf>
    <xf numFmtId="175" fontId="35" fillId="0" borderId="0" xfId="0" applyFont="1" applyFill="1" applyBorder="1" applyAlignment="1">
      <alignment horizontal="center" vertical="center"/>
    </xf>
    <xf numFmtId="177" fontId="35" fillId="0" borderId="0" xfId="0" applyNumberFormat="1" applyFont="1" applyFill="1" applyBorder="1" applyAlignment="1" applyProtection="1">
      <alignment horizontal="right" vertical="center"/>
      <protection/>
    </xf>
    <xf numFmtId="177" fontId="35" fillId="0" borderId="0" xfId="0" applyNumberFormat="1" applyFont="1" applyFill="1" applyBorder="1" applyAlignment="1">
      <alignment vertical="center"/>
    </xf>
    <xf numFmtId="200" fontId="35" fillId="0" borderId="0" xfId="0" applyNumberFormat="1" applyFont="1" applyFill="1" applyBorder="1" applyAlignment="1" applyProtection="1">
      <alignment horizontal="right" vertical="center"/>
      <protection/>
    </xf>
    <xf numFmtId="180" fontId="35" fillId="0" borderId="0" xfId="0" applyNumberFormat="1" applyFont="1" applyFill="1" applyBorder="1" applyAlignment="1" applyProtection="1">
      <alignment horizontal="right" vertical="center"/>
      <protection/>
    </xf>
    <xf numFmtId="175" fontId="35" fillId="33" borderId="0" xfId="0" applyFont="1" applyFill="1" applyBorder="1" applyAlignment="1">
      <alignment horizontal="left" vertical="center"/>
    </xf>
    <xf numFmtId="175" fontId="35" fillId="33" borderId="0" xfId="0" applyFont="1" applyFill="1" applyBorder="1" applyAlignment="1">
      <alignment vertical="center"/>
    </xf>
    <xf numFmtId="201" fontId="35" fillId="33" borderId="0" xfId="0" applyNumberFormat="1" applyFont="1" applyFill="1" applyBorder="1" applyAlignment="1" applyProtection="1">
      <alignment horizontal="right" vertical="center"/>
      <protection/>
    </xf>
    <xf numFmtId="201" fontId="35" fillId="0" borderId="0" xfId="0" applyNumberFormat="1" applyFont="1" applyFill="1" applyBorder="1" applyAlignment="1" applyProtection="1">
      <alignment horizontal="right" vertical="center"/>
      <protection/>
    </xf>
    <xf numFmtId="201" fontId="35" fillId="0" borderId="0" xfId="0" applyNumberFormat="1" applyFont="1" applyFill="1" applyBorder="1" applyAlignment="1">
      <alignment horizontal="right" vertical="center"/>
    </xf>
    <xf numFmtId="175" fontId="35" fillId="33" borderId="0" xfId="0" applyFont="1" applyFill="1" applyBorder="1" applyAlignment="1">
      <alignment horizontal="center" vertical="center"/>
    </xf>
    <xf numFmtId="201" fontId="35" fillId="33" borderId="0" xfId="0" applyNumberFormat="1" applyFont="1" applyFill="1" applyBorder="1" applyAlignment="1">
      <alignment horizontal="right" vertical="center"/>
    </xf>
    <xf numFmtId="190" fontId="35" fillId="33" borderId="0" xfId="0" applyNumberFormat="1" applyFont="1" applyFill="1" applyBorder="1" applyAlignment="1" applyProtection="1">
      <alignment horizontal="right" vertical="center"/>
      <protection/>
    </xf>
    <xf numFmtId="190" fontId="35" fillId="0" borderId="0" xfId="0" applyNumberFormat="1" applyFont="1" applyFill="1" applyBorder="1" applyAlignment="1" applyProtection="1">
      <alignment horizontal="right" vertical="center"/>
      <protection/>
    </xf>
    <xf numFmtId="175" fontId="35" fillId="0" borderId="0" xfId="0" applyFont="1" applyFill="1" applyBorder="1" applyAlignment="1">
      <alignment vertical="center" wrapText="1"/>
    </xf>
    <xf numFmtId="201" fontId="35" fillId="0" borderId="0" xfId="0" applyNumberFormat="1" applyFont="1" applyFill="1" applyBorder="1" applyAlignment="1">
      <alignment vertical="center"/>
    </xf>
    <xf numFmtId="201" fontId="35" fillId="0" borderId="0" xfId="0" applyNumberFormat="1" applyFont="1" applyAlignment="1">
      <alignment vertical="center"/>
    </xf>
    <xf numFmtId="201" fontId="35" fillId="0" borderId="0" xfId="0" applyNumberFormat="1" applyFont="1" applyFill="1" applyBorder="1" applyAlignment="1" applyProtection="1">
      <alignment vertical="center"/>
      <protection/>
    </xf>
    <xf numFmtId="201" fontId="35" fillId="33" borderId="0" xfId="0" applyNumberFormat="1" applyFont="1" applyFill="1" applyBorder="1" applyAlignment="1" applyProtection="1">
      <alignment vertical="center"/>
      <protection/>
    </xf>
    <xf numFmtId="177" fontId="35" fillId="0" borderId="0" xfId="0" applyNumberFormat="1" applyFont="1" applyFill="1" applyAlignment="1">
      <alignment vertical="center"/>
    </xf>
    <xf numFmtId="175" fontId="35" fillId="0" borderId="0" xfId="0" applyFont="1" applyFill="1" applyBorder="1" applyAlignment="1">
      <alignment horizontal="left" vertical="center" wrapText="1"/>
    </xf>
    <xf numFmtId="175" fontId="36" fillId="33" borderId="0" xfId="0" applyFont="1" applyFill="1" applyBorder="1" applyAlignment="1">
      <alignment horizontal="left" vertical="center"/>
    </xf>
    <xf numFmtId="175" fontId="36" fillId="34" borderId="0" xfId="0" applyFont="1" applyFill="1" applyBorder="1" applyAlignment="1">
      <alignment vertical="center"/>
    </xf>
    <xf numFmtId="201" fontId="35" fillId="0" borderId="0" xfId="0" applyNumberFormat="1" applyFont="1" applyFill="1" applyBorder="1" applyAlignment="1" applyProtection="1">
      <alignment horizontal="center" vertical="center"/>
      <protection/>
    </xf>
    <xf numFmtId="189" fontId="35" fillId="0" borderId="0" xfId="0" applyNumberFormat="1" applyFont="1" applyFill="1" applyBorder="1" applyAlignment="1">
      <alignment horizontal="right" vertical="center"/>
    </xf>
    <xf numFmtId="2" fontId="35" fillId="0" borderId="0" xfId="0" applyNumberFormat="1" applyFont="1" applyFill="1" applyBorder="1" applyAlignment="1" applyProtection="1">
      <alignment horizontal="right" vertical="center"/>
      <protection/>
    </xf>
    <xf numFmtId="175" fontId="36" fillId="33" borderId="0" xfId="0" applyFont="1" applyFill="1" applyBorder="1" applyAlignment="1">
      <alignment vertical="center"/>
    </xf>
    <xf numFmtId="185" fontId="35" fillId="33" borderId="0" xfId="0" applyNumberFormat="1" applyFont="1" applyFill="1" applyBorder="1" applyAlignment="1">
      <alignment horizontal="right" vertical="center"/>
    </xf>
    <xf numFmtId="189" fontId="35" fillId="33" borderId="0" xfId="0" applyNumberFormat="1" applyFont="1" applyFill="1" applyBorder="1" applyAlignment="1">
      <alignment horizontal="right" vertical="center"/>
    </xf>
    <xf numFmtId="2" fontId="35" fillId="33" borderId="0" xfId="0" applyNumberFormat="1" applyFont="1" applyFill="1" applyBorder="1" applyAlignment="1" applyProtection="1">
      <alignment horizontal="right" vertical="center"/>
      <protection/>
    </xf>
    <xf numFmtId="185" fontId="35" fillId="33" borderId="0" xfId="0" applyNumberFormat="1" applyFont="1" applyFill="1" applyBorder="1" applyAlignment="1" applyProtection="1">
      <alignment horizontal="right" vertical="center"/>
      <protection/>
    </xf>
    <xf numFmtId="202" fontId="35" fillId="0" borderId="0" xfId="0" applyNumberFormat="1" applyFont="1" applyFill="1" applyAlignment="1">
      <alignment vertical="center"/>
    </xf>
    <xf numFmtId="175" fontId="37" fillId="0" borderId="0" xfId="0" applyFont="1" applyFill="1" applyAlignment="1">
      <alignment vertical="center"/>
    </xf>
    <xf numFmtId="175" fontId="37" fillId="0" borderId="0" xfId="0" applyFont="1" applyFill="1" applyBorder="1" applyAlignment="1">
      <alignment vertical="center"/>
    </xf>
    <xf numFmtId="175" fontId="33" fillId="0" borderId="0" xfId="0" applyFont="1" applyFill="1" applyBorder="1" applyAlignment="1">
      <alignment vertical="center" wrapText="1"/>
    </xf>
    <xf numFmtId="175" fontId="33" fillId="0" borderId="0" xfId="0" applyFont="1" applyFill="1" applyBorder="1" applyAlignment="1">
      <alignment horizontal="left" vertical="center"/>
    </xf>
    <xf numFmtId="179" fontId="35" fillId="0" borderId="0" xfId="0" applyNumberFormat="1" applyFont="1" applyFill="1" applyBorder="1" applyAlignment="1" applyProtection="1">
      <alignment horizontal="center" vertical="center"/>
      <protection/>
    </xf>
    <xf numFmtId="2" fontId="35" fillId="0" borderId="0" xfId="0" applyNumberFormat="1" applyFont="1" applyFill="1" applyBorder="1" applyAlignment="1" applyProtection="1">
      <alignment vertical="center"/>
      <protection/>
    </xf>
    <xf numFmtId="2" fontId="35" fillId="0" borderId="0" xfId="83" applyNumberFormat="1" applyFont="1" applyFill="1" applyBorder="1" applyAlignment="1">
      <alignment vertical="center"/>
      <protection/>
    </xf>
    <xf numFmtId="201" fontId="35" fillId="33" borderId="0" xfId="83" applyNumberFormat="1" applyFont="1" applyFill="1" applyBorder="1" applyAlignment="1">
      <alignment vertical="center"/>
      <protection/>
    </xf>
    <xf numFmtId="201" fontId="35" fillId="0" borderId="0" xfId="83" applyNumberFormat="1" applyFont="1" applyFill="1" applyBorder="1" applyAlignment="1">
      <alignment vertical="center"/>
      <protection/>
    </xf>
    <xf numFmtId="175" fontId="35" fillId="33" borderId="0" xfId="0" applyFont="1" applyFill="1" applyBorder="1" applyAlignment="1">
      <alignment horizontal="left" vertical="center" wrapText="1"/>
    </xf>
    <xf numFmtId="175" fontId="35" fillId="33" borderId="0" xfId="0" applyFont="1" applyFill="1" applyBorder="1" applyAlignment="1">
      <alignment vertical="center" wrapText="1"/>
    </xf>
    <xf numFmtId="201" fontId="35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left" vertical="center"/>
    </xf>
    <xf numFmtId="0" fontId="36" fillId="0" borderId="0" xfId="0" applyNumberFormat="1" applyFont="1" applyFill="1" applyBorder="1" applyAlignment="1">
      <alignment horizontal="left" vertical="center" wrapText="1"/>
    </xf>
    <xf numFmtId="0" fontId="36" fillId="0" borderId="0" xfId="0" applyNumberFormat="1" applyFont="1" applyFill="1" applyBorder="1" applyAlignment="1">
      <alignment horizontal="left" vertical="center"/>
    </xf>
    <xf numFmtId="201" fontId="35" fillId="33" borderId="0" xfId="83" applyNumberFormat="1" applyFont="1" applyFill="1" applyBorder="1" applyAlignment="1">
      <alignment horizontal="right" vertical="center"/>
      <protection/>
    </xf>
    <xf numFmtId="188" fontId="35" fillId="0" borderId="0" xfId="83" applyNumberFormat="1" applyFont="1" applyFill="1" applyBorder="1" applyAlignment="1">
      <alignment vertical="center"/>
      <protection/>
    </xf>
    <xf numFmtId="176" fontId="35" fillId="0" borderId="0" xfId="75" applyNumberFormat="1" applyFont="1" applyFill="1" applyBorder="1" applyAlignment="1">
      <alignment vertical="center"/>
    </xf>
    <xf numFmtId="174" fontId="35" fillId="0" borderId="0" xfId="0" applyNumberFormat="1" applyFont="1" applyFill="1" applyBorder="1" applyAlignment="1" applyProtection="1">
      <alignment vertical="center"/>
      <protection/>
    </xf>
    <xf numFmtId="4" fontId="35" fillId="0" borderId="0" xfId="0" applyNumberFormat="1" applyFont="1" applyFill="1" applyBorder="1" applyAlignment="1">
      <alignment vertical="center"/>
    </xf>
    <xf numFmtId="3" fontId="35" fillId="0" borderId="0" xfId="0" applyNumberFormat="1" applyFont="1" applyFill="1" applyBorder="1" applyAlignment="1">
      <alignment vertical="center"/>
    </xf>
    <xf numFmtId="202" fontId="35" fillId="34" borderId="0" xfId="0" applyNumberFormat="1" applyFont="1" applyFill="1" applyBorder="1" applyAlignment="1">
      <alignment vertical="center"/>
    </xf>
    <xf numFmtId="180" fontId="35" fillId="0" borderId="0" xfId="0" applyNumberFormat="1" applyFont="1" applyFill="1" applyBorder="1" applyAlignment="1" applyProtection="1">
      <alignment vertical="center"/>
      <protection/>
    </xf>
    <xf numFmtId="175" fontId="32" fillId="0" borderId="14" xfId="0" applyFont="1" applyFill="1" applyBorder="1" applyAlignment="1">
      <alignment horizontal="right" vertical="center" wrapText="1"/>
    </xf>
    <xf numFmtId="175" fontId="32" fillId="0" borderId="15" xfId="0" applyFont="1" applyFill="1" applyBorder="1" applyAlignment="1">
      <alignment horizontal="right" vertical="center" wrapText="1"/>
    </xf>
    <xf numFmtId="181" fontId="35" fillId="0" borderId="0" xfId="0" applyNumberFormat="1" applyFont="1" applyFill="1" applyBorder="1" applyAlignment="1" applyProtection="1">
      <alignment horizontal="right" vertical="center"/>
      <protection/>
    </xf>
    <xf numFmtId="4" fontId="35" fillId="0" borderId="0" xfId="0" applyNumberFormat="1" applyFont="1" applyFill="1" applyBorder="1" applyAlignment="1">
      <alignment horizontal="right" vertical="center"/>
    </xf>
    <xf numFmtId="4" fontId="35" fillId="0" borderId="0" xfId="0" applyNumberFormat="1" applyFont="1" applyFill="1" applyBorder="1" applyAlignment="1">
      <alignment horizontal="center" vertical="center"/>
    </xf>
    <xf numFmtId="175" fontId="38" fillId="0" borderId="0" xfId="0" applyFont="1" applyFill="1" applyBorder="1" applyAlignment="1">
      <alignment vertical="center"/>
    </xf>
    <xf numFmtId="175" fontId="38" fillId="0" borderId="0" xfId="0" applyFont="1" applyFill="1" applyAlignment="1">
      <alignment vertical="center"/>
    </xf>
    <xf numFmtId="175" fontId="35" fillId="0" borderId="16" xfId="0" applyFont="1" applyFill="1" applyBorder="1" applyAlignment="1">
      <alignment horizontal="left" vertical="center"/>
    </xf>
    <xf numFmtId="175" fontId="35" fillId="0" borderId="16" xfId="0" applyFont="1" applyFill="1" applyBorder="1" applyAlignment="1">
      <alignment vertical="center"/>
    </xf>
    <xf numFmtId="183" fontId="35" fillId="0" borderId="16" xfId="0" applyNumberFormat="1" applyFont="1" applyFill="1" applyBorder="1" applyAlignment="1" applyProtection="1">
      <alignment horizontal="right" vertical="center"/>
      <protection/>
    </xf>
    <xf numFmtId="200" fontId="35" fillId="0" borderId="0" xfId="0" applyNumberFormat="1" applyFont="1" applyFill="1" applyBorder="1" applyAlignment="1">
      <alignment horizontal="right" vertical="center"/>
    </xf>
    <xf numFmtId="201" fontId="35" fillId="0" borderId="0" xfId="83" applyNumberFormat="1" applyFont="1" applyFill="1" applyBorder="1" applyAlignment="1">
      <alignment horizontal="right" vertical="center"/>
      <protection/>
    </xf>
    <xf numFmtId="3" fontId="35" fillId="0" borderId="0" xfId="0" applyNumberFormat="1" applyFont="1" applyFill="1" applyBorder="1" applyAlignment="1">
      <alignment horizontal="right" vertical="center"/>
    </xf>
    <xf numFmtId="177" fontId="35" fillId="0" borderId="0" xfId="83" applyNumberFormat="1" applyFont="1" applyFill="1" applyBorder="1" applyAlignment="1">
      <alignment vertical="center"/>
      <protection/>
    </xf>
    <xf numFmtId="2" fontId="35" fillId="34" borderId="0" xfId="0" applyNumberFormat="1" applyFont="1" applyFill="1" applyBorder="1" applyAlignment="1">
      <alignment horizontal="left" vertical="center"/>
    </xf>
    <xf numFmtId="2" fontId="35" fillId="0" borderId="0" xfId="0" applyNumberFormat="1" applyFont="1" applyFill="1" applyBorder="1" applyAlignment="1">
      <alignment vertical="center"/>
    </xf>
    <xf numFmtId="2" fontId="35" fillId="0" borderId="0" xfId="0" applyNumberFormat="1" applyFont="1" applyFill="1" applyBorder="1" applyAlignment="1">
      <alignment horizontal="left" vertical="center"/>
    </xf>
    <xf numFmtId="177" fontId="35" fillId="0" borderId="16" xfId="83" applyNumberFormat="1" applyFont="1" applyFill="1" applyBorder="1" applyAlignment="1">
      <alignment vertical="center"/>
      <protection/>
    </xf>
    <xf numFmtId="175" fontId="33" fillId="0" borderId="0" xfId="0" applyFont="1" applyFill="1" applyBorder="1" applyAlignment="1">
      <alignment horizontal="right" vertical="center"/>
    </xf>
    <xf numFmtId="177" fontId="33" fillId="0" borderId="0" xfId="0" applyNumberFormat="1" applyFont="1" applyFill="1" applyBorder="1" applyAlignment="1">
      <alignment horizontal="right" vertical="center"/>
    </xf>
    <xf numFmtId="181" fontId="35" fillId="0" borderId="0" xfId="0" applyNumberFormat="1" applyFont="1" applyFill="1" applyBorder="1" applyAlignment="1">
      <alignment horizontal="right" vertical="center"/>
    </xf>
    <xf numFmtId="1" fontId="35" fillId="0" borderId="0" xfId="75" applyNumberFormat="1" applyFont="1" applyFill="1" applyBorder="1" applyAlignment="1">
      <alignment horizontal="right" vertical="center"/>
    </xf>
    <xf numFmtId="1" fontId="35" fillId="0" borderId="0" xfId="75" applyNumberFormat="1" applyFont="1" applyFill="1" applyBorder="1" applyAlignment="1" quotePrefix="1">
      <alignment horizontal="right" vertical="center"/>
    </xf>
    <xf numFmtId="1" fontId="98" fillId="0" borderId="0" xfId="0" applyNumberFormat="1" applyFont="1" applyFill="1" applyBorder="1" applyAlignment="1">
      <alignment horizontal="right" vertical="center"/>
    </xf>
    <xf numFmtId="174" fontId="35" fillId="0" borderId="0" xfId="0" applyNumberFormat="1" applyFont="1" applyFill="1" applyBorder="1" applyAlignment="1">
      <alignment horizontal="right" vertical="center"/>
    </xf>
    <xf numFmtId="2" fontId="35" fillId="0" borderId="0" xfId="0" applyNumberFormat="1" applyFont="1" applyFill="1" applyBorder="1" applyAlignment="1" quotePrefix="1">
      <alignment horizontal="right" vertical="center"/>
    </xf>
    <xf numFmtId="182" fontId="35" fillId="0" borderId="0" xfId="0" applyNumberFormat="1" applyFont="1" applyFill="1" applyBorder="1" applyAlignment="1" quotePrefix="1">
      <alignment horizontal="right" vertical="center"/>
    </xf>
    <xf numFmtId="3" fontId="35" fillId="0" borderId="0" xfId="75" applyNumberFormat="1" applyFont="1" applyFill="1" applyBorder="1" applyAlignment="1">
      <alignment horizontal="right" vertical="center"/>
    </xf>
    <xf numFmtId="2" fontId="35" fillId="0" borderId="0" xfId="75" applyNumberFormat="1" applyFont="1" applyFill="1" applyBorder="1" applyAlignment="1">
      <alignment horizontal="right" vertical="center"/>
    </xf>
    <xf numFmtId="2" fontId="35" fillId="34" borderId="0" xfId="75" applyNumberFormat="1" applyFont="1" applyFill="1" applyBorder="1" applyAlignment="1">
      <alignment horizontal="right" vertical="center"/>
    </xf>
    <xf numFmtId="182" fontId="35" fillId="0" borderId="0" xfId="0" applyNumberFormat="1" applyFont="1" applyFill="1" applyBorder="1" applyAlignment="1">
      <alignment horizontal="right" vertical="center"/>
    </xf>
    <xf numFmtId="184" fontId="35" fillId="0" borderId="0" xfId="0" applyNumberFormat="1" applyFont="1" applyFill="1" applyBorder="1" applyAlignment="1">
      <alignment horizontal="right" vertical="center"/>
    </xf>
    <xf numFmtId="182" fontId="35" fillId="0" borderId="16" xfId="0" applyNumberFormat="1" applyFont="1" applyFill="1" applyBorder="1" applyAlignment="1" quotePrefix="1">
      <alignment horizontal="right" vertical="center"/>
    </xf>
    <xf numFmtId="181" fontId="35" fillId="0" borderId="16" xfId="0" applyNumberFormat="1" applyFont="1" applyFill="1" applyBorder="1" applyAlignment="1">
      <alignment horizontal="right" vertical="center"/>
    </xf>
    <xf numFmtId="181" fontId="99" fillId="0" borderId="16" xfId="0" applyNumberFormat="1" applyFont="1" applyFill="1" applyBorder="1" applyAlignment="1">
      <alignment horizontal="right" vertical="center"/>
    </xf>
    <xf numFmtId="2" fontId="99" fillId="0" borderId="16" xfId="0" applyNumberFormat="1" applyFont="1" applyFill="1" applyBorder="1" applyAlignment="1">
      <alignment horizontal="right" vertical="center"/>
    </xf>
    <xf numFmtId="175" fontId="44" fillId="0" borderId="0" xfId="0" applyFont="1" applyFill="1" applyBorder="1" applyAlignment="1">
      <alignment horizontal="left" vertical="center"/>
    </xf>
    <xf numFmtId="175" fontId="44" fillId="0" borderId="0" xfId="0" applyFont="1" applyFill="1" applyBorder="1" applyAlignment="1">
      <alignment vertical="center"/>
    </xf>
    <xf numFmtId="175" fontId="44" fillId="0" borderId="0" xfId="0" applyFont="1" applyFill="1" applyBorder="1" applyAlignment="1">
      <alignment horizontal="right" vertical="center"/>
    </xf>
    <xf numFmtId="39" fontId="44" fillId="0" borderId="0" xfId="0" applyNumberFormat="1" applyFont="1" applyFill="1" applyBorder="1" applyAlignment="1" applyProtection="1">
      <alignment vertical="center"/>
      <protection/>
    </xf>
    <xf numFmtId="175" fontId="44" fillId="0" borderId="0" xfId="0" applyFont="1" applyFill="1" applyAlignment="1">
      <alignment vertical="center"/>
    </xf>
    <xf numFmtId="175" fontId="35" fillId="35" borderId="0" xfId="0" applyFont="1" applyFill="1" applyBorder="1" applyAlignment="1">
      <alignment horizontal="left" vertical="center"/>
    </xf>
    <xf numFmtId="175" fontId="32" fillId="0" borderId="16" xfId="0" applyFont="1" applyFill="1" applyBorder="1" applyAlignment="1">
      <alignment horizontal="right" vertical="center" wrapText="1"/>
    </xf>
    <xf numFmtId="39" fontId="19" fillId="33" borderId="0" xfId="0" applyNumberFormat="1" applyFont="1" applyFill="1" applyBorder="1" applyAlignment="1" applyProtection="1">
      <alignment horizontal="center" vertical="center"/>
      <protection/>
    </xf>
    <xf numFmtId="175" fontId="22" fillId="33" borderId="0" xfId="0" applyFont="1" applyFill="1" applyAlignment="1">
      <alignment vertical="center"/>
    </xf>
    <xf numFmtId="175" fontId="22" fillId="33" borderId="0" xfId="0" applyFont="1" applyFill="1" applyAlignment="1">
      <alignment horizontal="center" vertical="center"/>
    </xf>
    <xf numFmtId="185" fontId="35" fillId="0" borderId="0" xfId="8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Fill="1" applyBorder="1" applyAlignment="1">
      <alignment horizontal="center" vertical="center"/>
    </xf>
    <xf numFmtId="175" fontId="37" fillId="0" borderId="0" xfId="0" applyFont="1" applyFill="1" applyAlignment="1">
      <alignment horizontal="right" vertical="center"/>
    </xf>
    <xf numFmtId="175" fontId="22" fillId="0" borderId="0" xfId="0" applyFont="1" applyFill="1" applyAlignment="1">
      <alignment horizontal="right" vertical="center"/>
    </xf>
    <xf numFmtId="2" fontId="35" fillId="0" borderId="0" xfId="0" applyNumberFormat="1" applyFont="1" applyFill="1" applyAlignment="1">
      <alignment horizontal="right" vertical="center"/>
    </xf>
    <xf numFmtId="175" fontId="37" fillId="0" borderId="5" xfId="0" applyFont="1" applyFill="1" applyBorder="1" applyAlignment="1">
      <alignment vertical="center"/>
    </xf>
    <xf numFmtId="175" fontId="37" fillId="0" borderId="5" xfId="0" applyFont="1" applyFill="1" applyBorder="1" applyAlignment="1">
      <alignment horizontal="left" vertical="center"/>
    </xf>
    <xf numFmtId="175" fontId="37" fillId="0" borderId="5" xfId="0" applyFont="1" applyFill="1" applyBorder="1" applyAlignment="1">
      <alignment horizontal="right" vertical="center"/>
    </xf>
    <xf numFmtId="180" fontId="19" fillId="0" borderId="5" xfId="0" applyNumberFormat="1" applyFont="1" applyFill="1" applyBorder="1" applyAlignment="1">
      <alignment horizontal="right" vertical="center"/>
    </xf>
    <xf numFmtId="2" fontId="19" fillId="0" borderId="5" xfId="0" applyNumberFormat="1" applyFont="1" applyFill="1" applyBorder="1" applyAlignment="1">
      <alignment vertical="center"/>
    </xf>
    <xf numFmtId="187" fontId="35" fillId="0" borderId="0" xfId="0" applyNumberFormat="1" applyFont="1" applyFill="1" applyBorder="1" applyAlignment="1" applyProtection="1">
      <alignment horizontal="right" vertical="center"/>
      <protection/>
    </xf>
    <xf numFmtId="187" fontId="35" fillId="0" borderId="0" xfId="0" applyNumberFormat="1" applyFont="1" applyFill="1" applyBorder="1" applyAlignment="1">
      <alignment horizontal="right" vertical="center"/>
    </xf>
    <xf numFmtId="175" fontId="25" fillId="0" borderId="0" xfId="0" applyFont="1" applyFill="1" applyBorder="1" applyAlignment="1">
      <alignment vertical="center"/>
    </xf>
    <xf numFmtId="183" fontId="35" fillId="0" borderId="0" xfId="0" applyNumberFormat="1" applyFont="1" applyFill="1" applyBorder="1" applyAlignment="1" applyProtection="1">
      <alignment horizontal="right" vertical="center"/>
      <protection/>
    </xf>
    <xf numFmtId="175" fontId="22" fillId="0" borderId="5" xfId="0" applyFont="1" applyFill="1" applyBorder="1" applyAlignment="1">
      <alignment vertical="center"/>
    </xf>
    <xf numFmtId="180" fontId="22" fillId="0" borderId="5" xfId="0" applyNumberFormat="1" applyFont="1" applyFill="1" applyBorder="1" applyAlignment="1">
      <alignment horizontal="right" vertical="center"/>
    </xf>
    <xf numFmtId="180" fontId="30" fillId="0" borderId="5" xfId="0" applyNumberFormat="1" applyFont="1" applyFill="1" applyBorder="1" applyAlignment="1" applyProtection="1">
      <alignment horizontal="right" vertical="center"/>
      <protection/>
    </xf>
    <xf numFmtId="180" fontId="29" fillId="0" borderId="5" xfId="0" applyNumberFormat="1" applyFont="1" applyFill="1" applyBorder="1" applyAlignment="1">
      <alignment horizontal="right" vertical="center"/>
    </xf>
    <xf numFmtId="39" fontId="22" fillId="0" borderId="5" xfId="0" applyNumberFormat="1" applyFont="1" applyFill="1" applyBorder="1" applyAlignment="1" applyProtection="1">
      <alignment horizontal="right" vertical="center"/>
      <protection/>
    </xf>
    <xf numFmtId="175" fontId="37" fillId="0" borderId="0" xfId="0" applyFont="1" applyFill="1" applyAlignment="1">
      <alignment horizontal="left" vertical="center" wrapText="1"/>
    </xf>
    <xf numFmtId="2" fontId="37" fillId="0" borderId="0" xfId="0" applyNumberFormat="1" applyFont="1" applyFill="1" applyBorder="1" applyAlignment="1">
      <alignment horizontal="left" vertical="center" wrapText="1"/>
    </xf>
    <xf numFmtId="175" fontId="100" fillId="0" borderId="0" xfId="0" applyFont="1" applyFill="1" applyBorder="1" applyAlignment="1">
      <alignment vertical="center"/>
    </xf>
    <xf numFmtId="49" fontId="35" fillId="0" borderId="0" xfId="0" applyNumberFormat="1" applyFont="1" applyFill="1" applyAlignment="1">
      <alignment vertical="center"/>
    </xf>
    <xf numFmtId="49" fontId="35" fillId="0" borderId="0" xfId="61" applyNumberFormat="1" applyFont="1" applyFill="1" applyBorder="1" applyAlignment="1">
      <alignment vertical="center"/>
    </xf>
    <xf numFmtId="186" fontId="35" fillId="0" borderId="0" xfId="6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vertical="center"/>
    </xf>
    <xf numFmtId="175" fontId="35" fillId="0" borderId="0" xfId="0" applyFont="1" applyFill="1" applyAlignment="1">
      <alignment horizontal="left" vertical="center" wrapText="1"/>
    </xf>
    <xf numFmtId="2" fontId="35" fillId="0" borderId="0" xfId="0" applyNumberFormat="1" applyFont="1" applyFill="1" applyBorder="1" applyAlignment="1">
      <alignment horizontal="left" vertical="center" wrapText="1"/>
    </xf>
    <xf numFmtId="175" fontId="35" fillId="0" borderId="0" xfId="0" applyFont="1" applyFill="1" applyAlignment="1">
      <alignment horizontal="left" vertical="center"/>
    </xf>
    <xf numFmtId="179" fontId="35" fillId="34" borderId="0" xfId="76" applyNumberFormat="1" applyFont="1" applyFill="1" applyBorder="1" applyAlignment="1">
      <alignment horizontal="right" vertical="center"/>
    </xf>
    <xf numFmtId="179" fontId="35" fillId="0" borderId="0" xfId="76" applyNumberFormat="1" applyFont="1" applyFill="1" applyBorder="1" applyAlignment="1">
      <alignment horizontal="right" vertical="center"/>
    </xf>
    <xf numFmtId="211" fontId="35" fillId="33" borderId="0" xfId="0" applyNumberFormat="1" applyFont="1" applyFill="1" applyBorder="1" applyAlignment="1">
      <alignment horizontal="right" vertical="center"/>
    </xf>
    <xf numFmtId="211" fontId="35" fillId="0" borderId="0" xfId="0" applyNumberFormat="1" applyFont="1" applyFill="1" applyBorder="1" applyAlignment="1">
      <alignment horizontal="right" vertical="center"/>
    </xf>
    <xf numFmtId="211" fontId="35" fillId="0" borderId="0" xfId="0" applyNumberFormat="1" applyFont="1" applyFill="1" applyAlignment="1">
      <alignment horizontal="right" vertical="center"/>
    </xf>
    <xf numFmtId="211" fontId="35" fillId="33" borderId="0" xfId="0" applyNumberFormat="1" applyFont="1" applyFill="1" applyAlignment="1">
      <alignment horizontal="right" vertical="center"/>
    </xf>
    <xf numFmtId="211" fontId="35" fillId="0" borderId="0" xfId="0" applyNumberFormat="1" applyFont="1" applyAlignment="1">
      <alignment vertical="center"/>
    </xf>
    <xf numFmtId="211" fontId="35" fillId="0" borderId="0" xfId="0" applyNumberFormat="1" applyFont="1" applyFill="1" applyBorder="1" applyAlignment="1" applyProtection="1">
      <alignment horizontal="right" vertical="center"/>
      <protection/>
    </xf>
    <xf numFmtId="211" fontId="35" fillId="33" borderId="0" xfId="0" applyNumberFormat="1" applyFont="1" applyFill="1" applyBorder="1" applyAlignment="1" applyProtection="1">
      <alignment horizontal="right" vertical="center"/>
      <protection/>
    </xf>
    <xf numFmtId="211" fontId="35" fillId="0" borderId="0" xfId="0" applyNumberFormat="1" applyFont="1" applyFill="1" applyAlignment="1">
      <alignment vertical="center"/>
    </xf>
    <xf numFmtId="211" fontId="35" fillId="0" borderId="0" xfId="0" applyNumberFormat="1" applyFont="1" applyAlignment="1">
      <alignment horizontal="right" vertical="center"/>
    </xf>
    <xf numFmtId="211" fontId="35" fillId="0" borderId="0" xfId="0" applyNumberFormat="1" applyFont="1" applyBorder="1" applyAlignment="1">
      <alignment vertical="center"/>
    </xf>
    <xf numFmtId="211" fontId="35" fillId="0" borderId="0" xfId="0" applyNumberFormat="1" applyFont="1" applyFill="1" applyBorder="1" applyAlignment="1" applyProtection="1">
      <alignment vertical="center"/>
      <protection/>
    </xf>
    <xf numFmtId="211" fontId="35" fillId="33" borderId="0" xfId="0" applyNumberFormat="1" applyFont="1" applyFill="1" applyBorder="1" applyAlignment="1" applyProtection="1">
      <alignment vertical="center"/>
      <protection/>
    </xf>
    <xf numFmtId="203" fontId="35" fillId="33" borderId="0" xfId="0" applyNumberFormat="1" applyFont="1" applyFill="1" applyBorder="1" applyAlignment="1" applyProtection="1">
      <alignment horizontal="right" vertical="center"/>
      <protection/>
    </xf>
    <xf numFmtId="203" fontId="35" fillId="0" borderId="0" xfId="0" applyNumberFormat="1" applyFont="1" applyFill="1" applyBorder="1" applyAlignment="1" applyProtection="1">
      <alignment horizontal="right" vertical="center"/>
      <protection/>
    </xf>
    <xf numFmtId="203" fontId="35" fillId="0" borderId="0" xfId="0" applyNumberFormat="1" applyFont="1" applyFill="1" applyBorder="1" applyAlignment="1">
      <alignment horizontal="right" vertical="center"/>
    </xf>
    <xf numFmtId="203" fontId="35" fillId="33" borderId="0" xfId="0" applyNumberFormat="1" applyFont="1" applyFill="1" applyBorder="1" applyAlignment="1">
      <alignment horizontal="right" vertical="center"/>
    </xf>
    <xf numFmtId="203" fontId="35" fillId="0" borderId="0" xfId="0" applyNumberFormat="1" applyFont="1" applyFill="1" applyBorder="1" applyAlignment="1">
      <alignment horizontal="center" vertical="center"/>
    </xf>
    <xf numFmtId="203" fontId="35" fillId="0" borderId="0" xfId="0" applyNumberFormat="1" applyFont="1" applyFill="1" applyBorder="1" applyAlignment="1" applyProtection="1">
      <alignment horizontal="center" vertical="center"/>
      <protection/>
    </xf>
    <xf numFmtId="203" fontId="35" fillId="0" borderId="0" xfId="82" applyNumberFormat="1" applyFont="1" applyFill="1" applyBorder="1" applyAlignment="1" applyProtection="1">
      <alignment horizontal="right" vertical="center"/>
      <protection/>
    </xf>
    <xf numFmtId="203" fontId="35" fillId="33" borderId="0" xfId="83" applyNumberFormat="1" applyFont="1" applyFill="1" applyBorder="1" applyAlignment="1">
      <alignment vertical="center"/>
      <protection/>
    </xf>
    <xf numFmtId="203" fontId="35" fillId="0" borderId="0" xfId="83" applyNumberFormat="1" applyFont="1" applyFill="1" applyBorder="1" applyAlignment="1">
      <alignment vertical="center"/>
      <protection/>
    </xf>
    <xf numFmtId="203" fontId="19" fillId="0" borderId="0" xfId="0" applyNumberFormat="1" applyFont="1" applyFill="1" applyBorder="1" applyAlignment="1">
      <alignment vertical="center"/>
    </xf>
    <xf numFmtId="203" fontId="19" fillId="0" borderId="0" xfId="0" applyNumberFormat="1" applyFont="1" applyFill="1" applyAlignment="1">
      <alignment vertical="center"/>
    </xf>
    <xf numFmtId="211" fontId="35" fillId="0" borderId="0" xfId="75" applyNumberFormat="1" applyFont="1" applyFill="1" applyBorder="1" applyAlignment="1">
      <alignment vertical="center"/>
    </xf>
    <xf numFmtId="211" fontId="35" fillId="34" borderId="0" xfId="75" applyNumberFormat="1" applyFont="1" applyFill="1" applyBorder="1" applyAlignment="1">
      <alignment vertical="center"/>
    </xf>
    <xf numFmtId="211" fontId="35" fillId="0" borderId="0" xfId="0" applyNumberFormat="1" applyFont="1" applyFill="1" applyBorder="1" applyAlignment="1">
      <alignment vertical="center"/>
    </xf>
    <xf numFmtId="211" fontId="35" fillId="34" borderId="0" xfId="0" applyNumberFormat="1" applyFont="1" applyFill="1" applyBorder="1" applyAlignment="1">
      <alignment vertical="center"/>
    </xf>
    <xf numFmtId="211" fontId="98" fillId="34" borderId="0" xfId="0" applyNumberFormat="1" applyFont="1" applyFill="1" applyBorder="1" applyAlignment="1">
      <alignment horizontal="right" vertical="center"/>
    </xf>
    <xf numFmtId="211" fontId="19" fillId="0" borderId="0" xfId="0" applyNumberFormat="1" applyFont="1" applyFill="1" applyBorder="1" applyAlignment="1">
      <alignment vertical="center"/>
    </xf>
    <xf numFmtId="211" fontId="38" fillId="0" borderId="0" xfId="0" applyNumberFormat="1" applyFont="1" applyFill="1" applyBorder="1" applyAlignment="1">
      <alignment vertical="center"/>
    </xf>
    <xf numFmtId="211" fontId="35" fillId="0" borderId="0" xfId="0" applyNumberFormat="1" applyFont="1" applyFill="1" applyBorder="1" applyAlignment="1">
      <alignment horizontal="center" vertical="center"/>
    </xf>
    <xf numFmtId="211" fontId="36" fillId="0" borderId="0" xfId="0" applyNumberFormat="1" applyFont="1" applyFill="1" applyBorder="1" applyAlignment="1">
      <alignment vertical="center"/>
    </xf>
    <xf numFmtId="203" fontId="35" fillId="0" borderId="0" xfId="0" applyNumberFormat="1" applyFont="1" applyFill="1" applyBorder="1" applyAlignment="1" applyProtection="1">
      <alignment vertical="center"/>
      <protection/>
    </xf>
    <xf numFmtId="203" fontId="35" fillId="34" borderId="0" xfId="0" applyNumberFormat="1" applyFont="1" applyFill="1" applyBorder="1" applyAlignment="1" quotePrefix="1">
      <alignment horizontal="right" vertical="center"/>
    </xf>
    <xf numFmtId="203" fontId="35" fillId="0" borderId="0" xfId="0" applyNumberFormat="1" applyFont="1" applyFill="1" applyBorder="1" applyAlignment="1" quotePrefix="1">
      <alignment horizontal="right" vertical="center"/>
    </xf>
    <xf numFmtId="203" fontId="35" fillId="0" borderId="0" xfId="0" applyNumberFormat="1" applyFont="1" applyFill="1" applyAlignment="1">
      <alignment vertical="center"/>
    </xf>
    <xf numFmtId="203" fontId="35" fillId="33" borderId="0" xfId="0" applyNumberFormat="1" applyFont="1" applyFill="1" applyAlignment="1">
      <alignment vertical="center"/>
    </xf>
    <xf numFmtId="175" fontId="26" fillId="0" borderId="0" xfId="0" applyFont="1" applyFill="1" applyAlignment="1">
      <alignment vertical="center" wrapText="1"/>
    </xf>
    <xf numFmtId="175" fontId="33" fillId="0" borderId="0" xfId="0" applyFont="1" applyFill="1" applyBorder="1" applyAlignment="1">
      <alignment/>
    </xf>
    <xf numFmtId="175" fontId="33" fillId="0" borderId="0" xfId="0" applyFont="1" applyFill="1" applyBorder="1" applyAlignment="1">
      <alignment horizontal="right"/>
    </xf>
    <xf numFmtId="175" fontId="31" fillId="0" borderId="0" xfId="0" applyFont="1" applyFill="1" applyBorder="1" applyAlignment="1">
      <alignment/>
    </xf>
    <xf numFmtId="175" fontId="41" fillId="0" borderId="0" xfId="0" applyFont="1" applyFill="1" applyBorder="1" applyAlignment="1">
      <alignment/>
    </xf>
    <xf numFmtId="175" fontId="35" fillId="0" borderId="0" xfId="0" applyFont="1" applyFill="1" applyBorder="1" applyAlignment="1">
      <alignment/>
    </xf>
    <xf numFmtId="175" fontId="0" fillId="0" borderId="0" xfId="0" applyFill="1" applyBorder="1" applyAlignment="1">
      <alignment/>
    </xf>
    <xf numFmtId="175" fontId="42" fillId="0" borderId="13" xfId="0" applyFont="1" applyFill="1" applyBorder="1" applyAlignment="1">
      <alignment horizontal="left" vertical="center" wrapText="1"/>
    </xf>
    <xf numFmtId="175" fontId="42" fillId="0" borderId="13" xfId="0" applyFont="1" applyFill="1" applyBorder="1" applyAlignment="1">
      <alignment horizontal="right" vertical="center"/>
    </xf>
    <xf numFmtId="175" fontId="7" fillId="0" borderId="0" xfId="0" applyFont="1" applyFill="1" applyBorder="1" applyAlignment="1">
      <alignment/>
    </xf>
    <xf numFmtId="175" fontId="43" fillId="0" borderId="0" xfId="0" applyFont="1" applyFill="1" applyBorder="1" applyAlignment="1">
      <alignment vertical="center" wrapText="1"/>
    </xf>
    <xf numFmtId="203" fontId="43" fillId="0" borderId="0" xfId="0" applyNumberFormat="1" applyFont="1" applyFill="1" applyBorder="1" applyAlignment="1">
      <alignment horizontal="right" vertical="center"/>
    </xf>
    <xf numFmtId="203" fontId="43" fillId="0" borderId="0" xfId="0" applyNumberFormat="1" applyFont="1" applyFill="1" applyBorder="1" applyAlignment="1">
      <alignment vertical="center"/>
    </xf>
    <xf numFmtId="203" fontId="35" fillId="0" borderId="0" xfId="0" applyNumberFormat="1" applyFont="1" applyFill="1" applyBorder="1" applyAlignment="1">
      <alignment horizontal="right"/>
    </xf>
    <xf numFmtId="203" fontId="35" fillId="0" borderId="0" xfId="0" applyNumberFormat="1" applyFont="1" applyFill="1" applyBorder="1" applyAlignment="1">
      <alignment/>
    </xf>
    <xf numFmtId="175" fontId="35" fillId="0" borderId="0" xfId="0" applyFont="1" applyFill="1" applyBorder="1" applyAlignment="1">
      <alignment horizontal="left" vertical="center" wrapText="1" indent="1"/>
    </xf>
    <xf numFmtId="175" fontId="35" fillId="0" borderId="0" xfId="0" applyFont="1" applyFill="1" applyBorder="1" applyAlignment="1">
      <alignment horizontal="left" vertical="center" indent="1"/>
    </xf>
    <xf numFmtId="175" fontId="10" fillId="0" borderId="0" xfId="0" applyFont="1" applyFill="1" applyBorder="1" applyAlignment="1">
      <alignment/>
    </xf>
    <xf numFmtId="175" fontId="35" fillId="0" borderId="0" xfId="0" applyFont="1" applyFill="1" applyBorder="1" applyAlignment="1">
      <alignment horizontal="left" vertical="center" indent="3"/>
    </xf>
    <xf numFmtId="175" fontId="35" fillId="0" borderId="0" xfId="0" applyFont="1" applyFill="1" applyBorder="1" applyAlignment="1">
      <alignment horizontal="left" vertical="center" wrapText="1" indent="3"/>
    </xf>
    <xf numFmtId="175" fontId="35" fillId="0" borderId="5" xfId="0" applyFont="1" applyFill="1" applyBorder="1" applyAlignment="1">
      <alignment horizontal="left" vertical="center" wrapText="1"/>
    </xf>
    <xf numFmtId="203" fontId="35" fillId="0" borderId="5" xfId="0" applyNumberFormat="1" applyFont="1" applyFill="1" applyBorder="1" applyAlignment="1">
      <alignment horizontal="right" vertical="center"/>
    </xf>
    <xf numFmtId="175" fontId="37" fillId="0" borderId="0" xfId="0" applyFont="1" applyFill="1" applyBorder="1" applyAlignment="1">
      <alignment horizontal="left"/>
    </xf>
    <xf numFmtId="175" fontId="0" fillId="0" borderId="0" xfId="0" applyFill="1" applyBorder="1" applyAlignment="1">
      <alignment horizontal="center"/>
    </xf>
    <xf numFmtId="175" fontId="13" fillId="0" borderId="0" xfId="0" applyFont="1" applyFill="1" applyBorder="1" applyAlignment="1">
      <alignment vertical="center"/>
    </xf>
    <xf numFmtId="175" fontId="0" fillId="0" borderId="0" xfId="0" applyFill="1" applyBorder="1" applyAlignment="1">
      <alignment vertical="center"/>
    </xf>
    <xf numFmtId="175" fontId="37" fillId="0" borderId="0" xfId="0" applyFont="1" applyFill="1" applyBorder="1" applyAlignment="1">
      <alignment/>
    </xf>
    <xf numFmtId="1" fontId="35" fillId="0" borderId="0" xfId="0" applyNumberFormat="1" applyFont="1" applyFill="1" applyBorder="1" applyAlignment="1">
      <alignment horizontal="right" vertical="center"/>
    </xf>
    <xf numFmtId="185" fontId="35" fillId="0" borderId="0" xfId="0" applyNumberFormat="1" applyFont="1" applyFill="1" applyBorder="1" applyAlignment="1">
      <alignment horizontal="right" vertical="center" wrapText="1"/>
    </xf>
    <xf numFmtId="211" fontId="36" fillId="0" borderId="0" xfId="0" applyNumberFormat="1" applyFont="1" applyFill="1" applyBorder="1" applyAlignment="1">
      <alignment horizontal="right" vertical="center"/>
    </xf>
    <xf numFmtId="179" fontId="98" fillId="34" borderId="0" xfId="0" applyNumberFormat="1" applyFont="1" applyFill="1" applyBorder="1" applyAlignment="1" applyProtection="1">
      <alignment horizontal="right" vertical="center"/>
      <protection/>
    </xf>
    <xf numFmtId="175" fontId="19" fillId="36" borderId="0" xfId="0" applyFont="1" applyFill="1" applyAlignment="1">
      <alignment vertical="center"/>
    </xf>
    <xf numFmtId="179" fontId="98" fillId="0" borderId="0" xfId="0" applyNumberFormat="1" applyFont="1" applyFill="1" applyBorder="1" applyAlignment="1" applyProtection="1">
      <alignment horizontal="right" vertical="center"/>
      <protection/>
    </xf>
    <xf numFmtId="202" fontId="98" fillId="0" borderId="0" xfId="0" applyNumberFormat="1" applyFont="1" applyFill="1" applyBorder="1" applyAlignment="1" applyProtection="1">
      <alignment horizontal="right" vertical="center"/>
      <protection/>
    </xf>
    <xf numFmtId="202" fontId="98" fillId="33" borderId="0" xfId="0" applyNumberFormat="1" applyFont="1" applyFill="1" applyBorder="1" applyAlignment="1" applyProtection="1">
      <alignment horizontal="right" vertical="center"/>
      <protection/>
    </xf>
    <xf numFmtId="175" fontId="49" fillId="0" borderId="0" xfId="0" applyFont="1" applyAlignment="1">
      <alignment vertical="top"/>
    </xf>
    <xf numFmtId="175" fontId="50" fillId="0" borderId="0" xfId="0" applyFont="1" applyAlignment="1">
      <alignment vertical="top"/>
    </xf>
    <xf numFmtId="175" fontId="50" fillId="0" borderId="0" xfId="0" applyFont="1" applyAlignment="1">
      <alignment vertical="top" wrapText="1"/>
    </xf>
    <xf numFmtId="2" fontId="35" fillId="33" borderId="0" xfId="0" applyNumberFormat="1" applyFont="1" applyFill="1" applyBorder="1" applyAlignment="1">
      <alignment horizontal="right" vertical="center"/>
    </xf>
    <xf numFmtId="175" fontId="50" fillId="36" borderId="0" xfId="0" applyFont="1" applyFill="1" applyAlignment="1">
      <alignment vertical="top"/>
    </xf>
    <xf numFmtId="175" fontId="49" fillId="36" borderId="0" xfId="0" applyFont="1" applyFill="1" applyAlignment="1">
      <alignment vertical="top"/>
    </xf>
    <xf numFmtId="222" fontId="35" fillId="0" borderId="0" xfId="0" applyNumberFormat="1" applyFont="1" applyFill="1" applyBorder="1" applyAlignment="1">
      <alignment vertical="center"/>
    </xf>
    <xf numFmtId="222" fontId="35" fillId="34" borderId="0" xfId="0" applyNumberFormat="1" applyFont="1" applyFill="1" applyBorder="1" applyAlignment="1">
      <alignment vertical="center"/>
    </xf>
    <xf numFmtId="222" fontId="36" fillId="0" borderId="0" xfId="0" applyNumberFormat="1" applyFont="1" applyFill="1" applyBorder="1" applyAlignment="1">
      <alignment horizontal="right" vertical="center"/>
    </xf>
    <xf numFmtId="211" fontId="35" fillId="33" borderId="0" xfId="0" applyNumberFormat="1" applyFont="1" applyFill="1" applyBorder="1" applyAlignment="1">
      <alignment vertical="center"/>
    </xf>
    <xf numFmtId="175" fontId="27" fillId="0" borderId="0" xfId="0" applyFont="1" applyAlignment="1">
      <alignment vertical="center"/>
    </xf>
    <xf numFmtId="175" fontId="45" fillId="0" borderId="0" xfId="0" applyFont="1" applyFill="1" applyBorder="1" applyAlignment="1">
      <alignment horizontal="left" vertical="center" wrapText="1"/>
    </xf>
    <xf numFmtId="49" fontId="35" fillId="0" borderId="0" xfId="0" applyNumberFormat="1" applyFont="1" applyFill="1" applyAlignment="1">
      <alignment vertical="top"/>
    </xf>
    <xf numFmtId="175" fontId="35" fillId="0" borderId="0" xfId="0" applyFont="1" applyFill="1" applyAlignment="1">
      <alignment/>
    </xf>
    <xf numFmtId="175" fontId="35" fillId="0" borderId="0" xfId="0" applyFont="1" applyFill="1" applyAlignment="1">
      <alignment horizontal="left"/>
    </xf>
    <xf numFmtId="177" fontId="35" fillId="0" borderId="0" xfId="0" applyNumberFormat="1" applyFont="1" applyFill="1" applyAlignment="1">
      <alignment/>
    </xf>
    <xf numFmtId="175" fontId="19" fillId="0" borderId="0" xfId="0" applyFont="1" applyFill="1" applyAlignment="1">
      <alignment/>
    </xf>
    <xf numFmtId="177" fontId="19" fillId="0" borderId="0" xfId="0" applyNumberFormat="1" applyFont="1" applyFill="1" applyAlignment="1">
      <alignment/>
    </xf>
    <xf numFmtId="175" fontId="35" fillId="0" borderId="0" xfId="0" applyFont="1" applyFill="1" applyBorder="1" applyAlignment="1">
      <alignment horizontal="left"/>
    </xf>
    <xf numFmtId="175" fontId="37" fillId="0" borderId="0" xfId="0" applyFont="1" applyFill="1" applyBorder="1" applyAlignment="1">
      <alignment horizontal="right"/>
    </xf>
    <xf numFmtId="175" fontId="35" fillId="0" borderId="0" xfId="0" applyFont="1" applyFill="1" applyAlignment="1">
      <alignment vertical="top"/>
    </xf>
    <xf numFmtId="175" fontId="32" fillId="0" borderId="0" xfId="0" applyFont="1" applyFill="1" applyAlignment="1">
      <alignment vertical="top"/>
    </xf>
    <xf numFmtId="175" fontId="32" fillId="0" borderId="0" xfId="0" applyFont="1" applyAlignment="1">
      <alignment vertical="top"/>
    </xf>
    <xf numFmtId="175" fontId="52" fillId="0" borderId="6" xfId="0" applyFont="1" applyBorder="1" applyAlignment="1">
      <alignment vertical="top"/>
    </xf>
    <xf numFmtId="175" fontId="52" fillId="0" borderId="0" xfId="0" applyFont="1" applyFill="1" applyAlignment="1">
      <alignment vertical="top"/>
    </xf>
    <xf numFmtId="175" fontId="52" fillId="0" borderId="0" xfId="0" applyFont="1" applyAlignment="1">
      <alignment vertical="top"/>
    </xf>
    <xf numFmtId="175" fontId="52" fillId="0" borderId="0" xfId="0" applyFont="1" applyFill="1" applyAlignment="1">
      <alignment vertical="center"/>
    </xf>
    <xf numFmtId="175" fontId="53" fillId="0" borderId="0" xfId="0" applyFont="1" applyFill="1" applyAlignment="1">
      <alignment vertical="center"/>
    </xf>
    <xf numFmtId="175" fontId="52" fillId="0" borderId="5" xfId="0" applyFont="1" applyBorder="1" applyAlignment="1">
      <alignment vertical="top"/>
    </xf>
    <xf numFmtId="175" fontId="52" fillId="0" borderId="0" xfId="0" applyFont="1" applyBorder="1" applyAlignment="1">
      <alignment vertical="top"/>
    </xf>
    <xf numFmtId="175" fontId="52" fillId="0" borderId="5" xfId="0" applyFont="1" applyBorder="1" applyAlignment="1">
      <alignment horizontal="center" vertical="top"/>
    </xf>
    <xf numFmtId="175" fontId="52" fillId="0" borderId="6" xfId="0" applyFont="1" applyBorder="1" applyAlignment="1">
      <alignment horizontal="left" vertical="center"/>
    </xf>
    <xf numFmtId="175" fontId="52" fillId="0" borderId="5" xfId="0" applyFont="1" applyBorder="1" applyAlignment="1">
      <alignment horizontal="left" vertical="center"/>
    </xf>
    <xf numFmtId="175" fontId="52" fillId="0" borderId="13" xfId="0" applyFont="1" applyBorder="1" applyAlignment="1">
      <alignment horizontal="center" vertical="top"/>
    </xf>
    <xf numFmtId="197" fontId="52" fillId="0" borderId="0" xfId="0" applyNumberFormat="1" applyFont="1" applyAlignment="1">
      <alignment vertical="top"/>
    </xf>
    <xf numFmtId="175" fontId="52" fillId="0" borderId="0" xfId="0" applyFont="1" applyAlignment="1">
      <alignment horizontal="left" vertical="top" wrapText="1"/>
    </xf>
    <xf numFmtId="197" fontId="32" fillId="0" borderId="0" xfId="0" applyNumberFormat="1" applyFont="1" applyAlignment="1">
      <alignment vertical="top"/>
    </xf>
    <xf numFmtId="175" fontId="52" fillId="0" borderId="6" xfId="0" applyFont="1" applyFill="1" applyBorder="1" applyAlignment="1">
      <alignment vertical="top"/>
    </xf>
    <xf numFmtId="175" fontId="37" fillId="0" borderId="0" xfId="0" applyFont="1" applyAlignment="1">
      <alignment vertical="top" wrapText="1"/>
    </xf>
    <xf numFmtId="175" fontId="52" fillId="0" borderId="13" xfId="0" applyFont="1" applyFill="1" applyBorder="1" applyAlignment="1">
      <alignment horizontal="center" vertical="center"/>
    </xf>
    <xf numFmtId="175" fontId="52" fillId="0" borderId="0" xfId="0" applyFont="1" applyAlignment="1">
      <alignment horizontal="left" vertical="top"/>
    </xf>
    <xf numFmtId="175" fontId="0" fillId="0" borderId="6" xfId="0" applyBorder="1" applyAlignment="1">
      <alignment vertical="top"/>
    </xf>
    <xf numFmtId="175" fontId="0" fillId="0" borderId="0" xfId="0" applyBorder="1" applyAlignment="1">
      <alignment vertical="top"/>
    </xf>
    <xf numFmtId="197" fontId="32" fillId="0" borderId="0" xfId="0" applyNumberFormat="1" applyFont="1" applyAlignment="1">
      <alignment horizontal="right" vertical="top"/>
    </xf>
    <xf numFmtId="197" fontId="52" fillId="0" borderId="0" xfId="0" applyNumberFormat="1" applyFont="1" applyAlignment="1">
      <alignment horizontal="right" vertical="top"/>
    </xf>
    <xf numFmtId="197" fontId="52" fillId="0" borderId="5" xfId="0" applyNumberFormat="1" applyFont="1" applyBorder="1" applyAlignment="1">
      <alignment horizontal="right" vertical="top"/>
    </xf>
    <xf numFmtId="177" fontId="52" fillId="0" borderId="0" xfId="0" applyNumberFormat="1" applyFont="1" applyAlignment="1">
      <alignment horizontal="right" vertical="top"/>
    </xf>
    <xf numFmtId="177" fontId="32" fillId="0" borderId="0" xfId="0" applyNumberFormat="1" applyFont="1" applyAlignment="1">
      <alignment horizontal="right" vertical="top"/>
    </xf>
    <xf numFmtId="177" fontId="52" fillId="0" borderId="0" xfId="0" applyNumberFormat="1" applyFont="1" applyFill="1" applyAlignment="1">
      <alignment horizontal="right" vertical="center"/>
    </xf>
    <xf numFmtId="175" fontId="32" fillId="0" borderId="0" xfId="0" applyFont="1" applyFill="1" applyAlignment="1">
      <alignment vertical="top" wrapText="1"/>
    </xf>
    <xf numFmtId="175" fontId="32" fillId="0" borderId="0" xfId="0" applyFont="1" applyFill="1" applyAlignment="1">
      <alignment vertical="top"/>
    </xf>
    <xf numFmtId="182" fontId="19" fillId="0" borderId="5" xfId="0" applyNumberFormat="1" applyFont="1" applyFill="1" applyBorder="1" applyAlignment="1">
      <alignment horizontal="right" vertical="center"/>
    </xf>
    <xf numFmtId="174" fontId="19" fillId="0" borderId="5" xfId="0" applyNumberFormat="1" applyFont="1" applyFill="1" applyBorder="1" applyAlignment="1">
      <alignment horizontal="right" vertical="center"/>
    </xf>
    <xf numFmtId="175" fontId="32" fillId="0" borderId="0" xfId="0" applyFont="1" applyFill="1" applyAlignment="1">
      <alignment horizontal="left" vertical="top" wrapText="1"/>
    </xf>
    <xf numFmtId="175" fontId="32" fillId="0" borderId="0" xfId="0" applyFont="1" applyAlignment="1">
      <alignment/>
    </xf>
    <xf numFmtId="175" fontId="52" fillId="0" borderId="0" xfId="0" applyFont="1" applyAlignment="1">
      <alignment/>
    </xf>
    <xf numFmtId="197" fontId="32" fillId="0" borderId="0" xfId="0" applyNumberFormat="1" applyFont="1" applyAlignment="1">
      <alignment/>
    </xf>
    <xf numFmtId="175" fontId="52" fillId="0" borderId="0" xfId="0" applyFont="1" applyFill="1" applyAlignment="1">
      <alignment/>
    </xf>
    <xf numFmtId="197" fontId="52" fillId="0" borderId="0" xfId="0" applyNumberFormat="1" applyFont="1" applyAlignment="1">
      <alignment/>
    </xf>
    <xf numFmtId="177" fontId="32" fillId="0" borderId="0" xfId="0" applyNumberFormat="1" applyFont="1" applyAlignment="1">
      <alignment/>
    </xf>
    <xf numFmtId="177" fontId="52" fillId="0" borderId="0" xfId="0" applyNumberFormat="1" applyFont="1" applyAlignment="1">
      <alignment/>
    </xf>
    <xf numFmtId="175" fontId="52" fillId="0" borderId="5" xfId="0" applyFont="1" applyBorder="1" applyAlignment="1">
      <alignment/>
    </xf>
    <xf numFmtId="197" fontId="52" fillId="0" borderId="5" xfId="0" applyNumberFormat="1" applyFont="1" applyBorder="1" applyAlignment="1">
      <alignment/>
    </xf>
    <xf numFmtId="177" fontId="52" fillId="0" borderId="5" xfId="0" applyNumberFormat="1" applyFont="1" applyBorder="1" applyAlignment="1">
      <alignment/>
    </xf>
    <xf numFmtId="175" fontId="52" fillId="0" borderId="5" xfId="0" applyFont="1" applyBorder="1" applyAlignment="1">
      <alignment horizontal="right" vertical="top"/>
    </xf>
    <xf numFmtId="175" fontId="52" fillId="0" borderId="6" xfId="0" applyFont="1" applyBorder="1" applyAlignment="1">
      <alignment horizontal="left"/>
    </xf>
    <xf numFmtId="175" fontId="52" fillId="0" borderId="13" xfId="0" applyFont="1" applyBorder="1" applyAlignment="1">
      <alignment horizontal="center"/>
    </xf>
    <xf numFmtId="175" fontId="52" fillId="0" borderId="5" xfId="0" applyFont="1" applyBorder="1" applyAlignment="1">
      <alignment horizontal="left"/>
    </xf>
    <xf numFmtId="175" fontId="52" fillId="0" borderId="13" xfId="0" applyFont="1" applyFill="1" applyBorder="1" applyAlignment="1">
      <alignment horizontal="center"/>
    </xf>
    <xf numFmtId="177" fontId="32" fillId="0" borderId="0" xfId="0" applyNumberFormat="1" applyFont="1" applyAlignment="1">
      <alignment horizontal="right"/>
    </xf>
    <xf numFmtId="177" fontId="52" fillId="0" borderId="0" xfId="0" applyNumberFormat="1" applyFont="1" applyFill="1" applyAlignment="1">
      <alignment horizontal="right"/>
    </xf>
    <xf numFmtId="175" fontId="32" fillId="0" borderId="0" xfId="0" applyFont="1" applyFill="1" applyBorder="1" applyAlignment="1">
      <alignment horizontal="left" vertical="top" wrapText="1"/>
    </xf>
    <xf numFmtId="175" fontId="32" fillId="0" borderId="0" xfId="0" applyFont="1" applyFill="1" applyBorder="1" applyAlignment="1">
      <alignment horizontal="left" wrapText="1"/>
    </xf>
    <xf numFmtId="175" fontId="52" fillId="0" borderId="0" xfId="0" applyFont="1" applyBorder="1" applyAlignment="1">
      <alignment/>
    </xf>
    <xf numFmtId="175" fontId="33" fillId="0" borderId="0" xfId="0" applyFont="1" applyFill="1" applyBorder="1" applyAlignment="1">
      <alignment horizontal="left"/>
    </xf>
    <xf numFmtId="177" fontId="52" fillId="0" borderId="0" xfId="0" applyNumberFormat="1" applyFont="1" applyBorder="1" applyAlignment="1">
      <alignment/>
    </xf>
    <xf numFmtId="175" fontId="37" fillId="0" borderId="0" xfId="0" applyFont="1" applyBorder="1" applyAlignment="1">
      <alignment horizontal="left" wrapText="1"/>
    </xf>
    <xf numFmtId="175" fontId="34" fillId="0" borderId="0" xfId="0" applyFont="1" applyAlignment="1">
      <alignment/>
    </xf>
    <xf numFmtId="175" fontId="35" fillId="0" borderId="0" xfId="0" applyFont="1" applyAlignment="1">
      <alignment/>
    </xf>
    <xf numFmtId="197" fontId="34" fillId="0" borderId="0" xfId="0" applyNumberFormat="1" applyFont="1" applyAlignment="1">
      <alignment/>
    </xf>
    <xf numFmtId="177" fontId="34" fillId="0" borderId="0" xfId="0" applyNumberFormat="1" applyFont="1" applyAlignment="1">
      <alignment/>
    </xf>
    <xf numFmtId="197" fontId="35" fillId="0" borderId="0" xfId="0" applyNumberFormat="1" applyFont="1" applyAlignment="1">
      <alignment/>
    </xf>
    <xf numFmtId="177" fontId="35" fillId="0" borderId="0" xfId="0" applyNumberFormat="1" applyFont="1" applyAlignment="1">
      <alignment/>
    </xf>
    <xf numFmtId="175" fontId="34" fillId="0" borderId="0" xfId="0" applyFont="1" applyAlignment="1">
      <alignment horizontal="left" indent="1"/>
    </xf>
    <xf numFmtId="175" fontId="35" fillId="0" borderId="0" xfId="0" applyFont="1" applyAlignment="1">
      <alignment horizontal="left" indent="2"/>
    </xf>
    <xf numFmtId="175" fontId="34" fillId="0" borderId="0" xfId="0" applyFont="1" applyBorder="1" applyAlignment="1">
      <alignment vertical="center"/>
    </xf>
    <xf numFmtId="177" fontId="34" fillId="0" borderId="0" xfId="0" applyNumberFormat="1" applyFont="1" applyBorder="1" applyAlignment="1">
      <alignment/>
    </xf>
    <xf numFmtId="175" fontId="27" fillId="0" borderId="0" xfId="0" applyFont="1" applyFill="1" applyAlignment="1">
      <alignment vertical="top"/>
    </xf>
    <xf numFmtId="175" fontId="32" fillId="0" borderId="0" xfId="0" applyFont="1" applyBorder="1" applyAlignment="1">
      <alignment horizontal="right" vertical="center"/>
    </xf>
    <xf numFmtId="175" fontId="32" fillId="0" borderId="0" xfId="0" applyFont="1" applyFill="1" applyBorder="1" applyAlignment="1">
      <alignment vertical="top"/>
    </xf>
    <xf numFmtId="175" fontId="52" fillId="0" borderId="0" xfId="0" applyFont="1" applyBorder="1" applyAlignment="1">
      <alignment vertical="center"/>
    </xf>
    <xf numFmtId="175" fontId="32" fillId="0" borderId="13" xfId="0" applyFont="1" applyBorder="1" applyAlignment="1">
      <alignment horizontal="left" vertical="center"/>
    </xf>
    <xf numFmtId="175" fontId="32" fillId="0" borderId="13" xfId="0" applyFont="1" applyBorder="1" applyAlignment="1">
      <alignment horizontal="right" vertical="center"/>
    </xf>
    <xf numFmtId="175" fontId="32" fillId="0" borderId="6" xfId="0" applyFont="1" applyBorder="1" applyAlignment="1">
      <alignment vertical="center"/>
    </xf>
    <xf numFmtId="175" fontId="32" fillId="0" borderId="0" xfId="0" applyFont="1" applyFill="1" applyBorder="1" applyAlignment="1">
      <alignment vertical="top"/>
    </xf>
    <xf numFmtId="175" fontId="32" fillId="0" borderId="0" xfId="0" applyFont="1" applyFill="1" applyBorder="1" applyAlignment="1">
      <alignment vertical="top" wrapText="1"/>
    </xf>
    <xf numFmtId="175" fontId="19" fillId="0" borderId="0" xfId="0" applyFont="1" applyFill="1" applyBorder="1" applyAlignment="1">
      <alignment vertical="top"/>
    </xf>
    <xf numFmtId="175" fontId="32" fillId="0" borderId="13" xfId="0" applyFont="1" applyBorder="1" applyAlignment="1">
      <alignment vertical="center" wrapText="1"/>
    </xf>
    <xf numFmtId="175" fontId="35" fillId="0" borderId="0" xfId="0" applyFont="1" applyAlignment="1">
      <alignment horizontal="left" wrapText="1" indent="2"/>
    </xf>
    <xf numFmtId="175" fontId="52" fillId="0" borderId="6" xfId="0" applyFont="1" applyBorder="1" applyAlignment="1">
      <alignment vertical="top"/>
    </xf>
    <xf numFmtId="175" fontId="37" fillId="0" borderId="0" xfId="0" applyFont="1" applyFill="1" applyAlignment="1">
      <alignment horizontal="left"/>
    </xf>
    <xf numFmtId="175" fontId="100" fillId="0" borderId="0" xfId="0" applyFont="1" applyFill="1" applyAlignment="1">
      <alignment vertical="top"/>
    </xf>
    <xf numFmtId="175" fontId="99" fillId="0" borderId="0" xfId="0" applyFont="1" applyAlignment="1">
      <alignment horizontal="left" indent="2"/>
    </xf>
    <xf numFmtId="177" fontId="99" fillId="0" borderId="0" xfId="0" applyNumberFormat="1" applyFont="1" applyAlignment="1">
      <alignment/>
    </xf>
    <xf numFmtId="175" fontId="22" fillId="36" borderId="0" xfId="0" applyFont="1" applyFill="1" applyAlignment="1">
      <alignment vertical="center"/>
    </xf>
    <xf numFmtId="175" fontId="35" fillId="0" borderId="0" xfId="0" applyFont="1" applyBorder="1" applyAlignment="1">
      <alignment horizontal="left" vertical="center" wrapText="1" indent="2"/>
    </xf>
    <xf numFmtId="175" fontId="35" fillId="0" borderId="5" xfId="0" applyFont="1" applyBorder="1" applyAlignment="1">
      <alignment horizontal="left" vertical="center" wrapText="1" indent="2"/>
    </xf>
    <xf numFmtId="175" fontId="34" fillId="0" borderId="0" xfId="0" applyFont="1" applyBorder="1" applyAlignment="1">
      <alignment vertical="center" wrapText="1"/>
    </xf>
    <xf numFmtId="197" fontId="34" fillId="0" borderId="0" xfId="0" applyNumberFormat="1" applyFont="1" applyBorder="1" applyAlignment="1">
      <alignment vertical="center"/>
    </xf>
    <xf numFmtId="197" fontId="35" fillId="0" borderId="0" xfId="0" applyNumberFormat="1" applyFont="1" applyBorder="1" applyAlignment="1">
      <alignment vertical="center"/>
    </xf>
    <xf numFmtId="197" fontId="35" fillId="0" borderId="5" xfId="0" applyNumberFormat="1" applyFont="1" applyBorder="1" applyAlignment="1">
      <alignment vertical="center"/>
    </xf>
    <xf numFmtId="177" fontId="34" fillId="0" borderId="0" xfId="0" applyNumberFormat="1" applyFont="1" applyBorder="1" applyAlignment="1">
      <alignment vertical="center"/>
    </xf>
    <xf numFmtId="177" fontId="35" fillId="0" borderId="0" xfId="0" applyNumberFormat="1" applyFont="1" applyBorder="1" applyAlignment="1">
      <alignment vertical="center"/>
    </xf>
    <xf numFmtId="177" fontId="35" fillId="0" borderId="5" xfId="0" applyNumberFormat="1" applyFont="1" applyBorder="1" applyAlignment="1">
      <alignment vertical="center"/>
    </xf>
    <xf numFmtId="177" fontId="34" fillId="37" borderId="6" xfId="0" applyNumberFormat="1" applyFont="1" applyFill="1" applyBorder="1" applyAlignment="1">
      <alignment/>
    </xf>
    <xf numFmtId="175" fontId="52" fillId="37" borderId="5" xfId="0" applyFont="1" applyFill="1" applyBorder="1" applyAlignment="1">
      <alignment/>
    </xf>
    <xf numFmtId="175" fontId="33" fillId="0" borderId="0" xfId="0" applyFont="1" applyBorder="1" applyAlignment="1">
      <alignment horizontal="right" vertical="center"/>
    </xf>
    <xf numFmtId="175" fontId="32" fillId="0" borderId="6" xfId="0" applyFont="1" applyFill="1" applyBorder="1" applyAlignment="1">
      <alignment horizontal="left" vertical="center"/>
    </xf>
    <xf numFmtId="175" fontId="32" fillId="0" borderId="5" xfId="0" applyFont="1" applyFill="1" applyBorder="1" applyAlignment="1">
      <alignment horizontal="left" vertical="center"/>
    </xf>
    <xf numFmtId="175" fontId="32" fillId="0" borderId="6" xfId="0" applyFont="1" applyFill="1" applyBorder="1" applyAlignment="1" quotePrefix="1">
      <alignment horizontal="right" vertical="center" wrapText="1"/>
    </xf>
    <xf numFmtId="175" fontId="32" fillId="0" borderId="5" xfId="0" applyFont="1" applyFill="1" applyBorder="1" applyAlignment="1" quotePrefix="1">
      <alignment horizontal="right" vertical="center" wrapText="1"/>
    </xf>
    <xf numFmtId="175" fontId="32" fillId="0" borderId="13" xfId="0" applyFont="1" applyFill="1" applyBorder="1" applyAlignment="1" quotePrefix="1">
      <alignment horizontal="right" vertical="center" wrapText="1"/>
    </xf>
    <xf numFmtId="175" fontId="32" fillId="0" borderId="13" xfId="0" applyFont="1" applyFill="1" applyBorder="1" applyAlignment="1">
      <alignment horizontal="right" vertical="center" wrapText="1"/>
    </xf>
    <xf numFmtId="2" fontId="32" fillId="0" borderId="13" xfId="0" applyNumberFormat="1" applyFont="1" applyFill="1" applyBorder="1" applyAlignment="1">
      <alignment horizontal="center" vertical="center"/>
    </xf>
    <xf numFmtId="2" fontId="32" fillId="0" borderId="13" xfId="0" applyNumberFormat="1" applyFont="1" applyBorder="1" applyAlignment="1">
      <alignment vertical="center"/>
    </xf>
    <xf numFmtId="175" fontId="27" fillId="0" borderId="0" xfId="0" applyFont="1" applyAlignment="1">
      <alignment horizontal="right" vertical="center"/>
    </xf>
    <xf numFmtId="175" fontId="35" fillId="33" borderId="0" xfId="0" applyFont="1" applyFill="1" applyBorder="1" applyAlignment="1">
      <alignment horizontal="left" vertical="center" wrapText="1"/>
    </xf>
    <xf numFmtId="175" fontId="35" fillId="0" borderId="0" xfId="0" applyFont="1" applyFill="1" applyBorder="1" applyAlignment="1">
      <alignment horizontal="left" vertical="center" wrapText="1"/>
    </xf>
    <xf numFmtId="175" fontId="35" fillId="35" borderId="0" xfId="0" applyFont="1" applyFill="1" applyBorder="1" applyAlignment="1">
      <alignment horizontal="left" vertical="center" wrapText="1"/>
    </xf>
    <xf numFmtId="175" fontId="35" fillId="35" borderId="0" xfId="0" applyFont="1" applyFill="1" applyBorder="1" applyAlignment="1">
      <alignment horizontal="left" vertical="center"/>
    </xf>
    <xf numFmtId="175" fontId="33" fillId="0" borderId="0" xfId="0" applyFont="1" applyFill="1" applyBorder="1" applyAlignment="1">
      <alignment horizontal="right" vertical="center"/>
    </xf>
    <xf numFmtId="175" fontId="32" fillId="0" borderId="6" xfId="0" applyFont="1" applyFill="1" applyBorder="1" applyAlignment="1">
      <alignment horizontal="left" vertical="center" wrapText="1"/>
    </xf>
    <xf numFmtId="175" fontId="32" fillId="0" borderId="5" xfId="0" applyFont="1" applyFill="1" applyBorder="1" applyAlignment="1">
      <alignment horizontal="left" vertical="center" wrapText="1"/>
    </xf>
    <xf numFmtId="175" fontId="32" fillId="0" borderId="13" xfId="0" applyFont="1" applyFill="1" applyBorder="1" applyAlignment="1">
      <alignment horizontal="center" vertical="center" wrapText="1"/>
    </xf>
    <xf numFmtId="175" fontId="26" fillId="0" borderId="0" xfId="0" applyFont="1" applyFill="1" applyBorder="1" applyAlignment="1">
      <alignment horizontal="left" vertical="center" wrapText="1"/>
    </xf>
    <xf numFmtId="175" fontId="35" fillId="0" borderId="0" xfId="81" applyNumberFormat="1" applyFont="1" applyFill="1" applyBorder="1" applyAlignment="1">
      <alignment horizontal="left" vertical="top" wrapText="1"/>
      <protection/>
    </xf>
    <xf numFmtId="175" fontId="35" fillId="0" borderId="0" xfId="0" applyFont="1" applyFill="1" applyAlignment="1">
      <alignment horizontal="left" vertical="center" wrapText="1"/>
    </xf>
    <xf numFmtId="175" fontId="35" fillId="0" borderId="0" xfId="0" applyFont="1" applyFill="1" applyBorder="1" applyAlignment="1">
      <alignment horizontal="left" vertical="top" wrapText="1"/>
    </xf>
    <xf numFmtId="175" fontId="27" fillId="0" borderId="0" xfId="0" applyFont="1" applyFill="1" applyAlignment="1">
      <alignment horizontal="right" vertical="center"/>
    </xf>
    <xf numFmtId="175" fontId="32" fillId="0" borderId="15" xfId="0" applyFont="1" applyFill="1" applyBorder="1" applyAlignment="1">
      <alignment horizontal="left" vertical="center" wrapText="1"/>
    </xf>
    <xf numFmtId="175" fontId="32" fillId="0" borderId="16" xfId="0" applyFont="1" applyFill="1" applyBorder="1" applyAlignment="1">
      <alignment horizontal="left" vertical="center" wrapText="1"/>
    </xf>
    <xf numFmtId="2" fontId="32" fillId="0" borderId="15" xfId="0" applyNumberFormat="1" applyFont="1" applyFill="1" applyBorder="1" applyAlignment="1">
      <alignment horizontal="right" vertical="center" wrapText="1"/>
    </xf>
    <xf numFmtId="175" fontId="32" fillId="0" borderId="16" xfId="0" applyFont="1" applyFill="1" applyBorder="1" applyAlignment="1">
      <alignment horizontal="right" vertical="center" wrapText="1"/>
    </xf>
    <xf numFmtId="175" fontId="32" fillId="0" borderId="15" xfId="0" applyFont="1" applyFill="1" applyBorder="1" applyAlignment="1">
      <alignment horizontal="right" vertical="center" wrapText="1"/>
    </xf>
    <xf numFmtId="175" fontId="35" fillId="0" borderId="0" xfId="0" applyFont="1" applyFill="1" applyBorder="1" applyAlignment="1">
      <alignment horizontal="justify" vertical="center" wrapText="1"/>
    </xf>
    <xf numFmtId="175" fontId="45" fillId="0" borderId="0" xfId="0" applyFont="1" applyFill="1" applyAlignment="1">
      <alignment horizontal="left" vertical="center" wrapText="1"/>
    </xf>
    <xf numFmtId="175" fontId="45" fillId="0" borderId="0" xfId="0" applyFont="1" applyFill="1" applyBorder="1" applyAlignment="1">
      <alignment horizontal="left" vertical="center" wrapText="1"/>
    </xf>
    <xf numFmtId="175" fontId="32" fillId="0" borderId="14" xfId="0" applyFont="1" applyFill="1" applyBorder="1" applyAlignment="1">
      <alignment horizontal="left" vertical="center" wrapText="1"/>
    </xf>
    <xf numFmtId="175" fontId="32" fillId="0" borderId="15" xfId="0" applyFont="1" applyFill="1" applyBorder="1" applyAlignment="1" quotePrefix="1">
      <alignment horizontal="right" vertical="center" wrapText="1"/>
    </xf>
    <xf numFmtId="175" fontId="32" fillId="0" borderId="16" xfId="0" applyFont="1" applyFill="1" applyBorder="1" applyAlignment="1" quotePrefix="1">
      <alignment horizontal="right" vertical="center" wrapText="1"/>
    </xf>
    <xf numFmtId="175" fontId="32" fillId="0" borderId="6" xfId="0" applyFont="1" applyFill="1" applyBorder="1" applyAlignment="1">
      <alignment horizontal="right" vertical="center"/>
    </xf>
    <xf numFmtId="175" fontId="32" fillId="0" borderId="5" xfId="0" applyFont="1" applyFill="1" applyBorder="1" applyAlignment="1">
      <alignment horizontal="right" vertical="center"/>
    </xf>
    <xf numFmtId="175" fontId="45" fillId="0" borderId="0" xfId="0" applyFont="1" applyFill="1" applyBorder="1" applyAlignment="1">
      <alignment horizontal="left" wrapText="1"/>
    </xf>
    <xf numFmtId="175" fontId="35" fillId="0" borderId="0" xfId="0" applyFont="1" applyFill="1" applyBorder="1" applyAlignment="1">
      <alignment horizontal="left" wrapText="1"/>
    </xf>
    <xf numFmtId="175" fontId="35" fillId="0" borderId="0" xfId="0" applyFont="1" applyFill="1" applyAlignment="1">
      <alignment horizontal="left" wrapText="1"/>
    </xf>
    <xf numFmtId="175" fontId="32" fillId="0" borderId="15" xfId="0" applyFont="1" applyFill="1" applyBorder="1" applyAlignment="1">
      <alignment horizontal="center" vertical="center" wrapText="1"/>
    </xf>
    <xf numFmtId="175" fontId="33" fillId="0" borderId="0" xfId="0" applyFont="1" applyFill="1" applyBorder="1" applyAlignment="1">
      <alignment horizontal="left" vertical="center"/>
    </xf>
    <xf numFmtId="175" fontId="32" fillId="0" borderId="15" xfId="0" applyFont="1" applyFill="1" applyBorder="1" applyAlignment="1">
      <alignment horizontal="left" vertical="center"/>
    </xf>
    <xf numFmtId="175" fontId="32" fillId="0" borderId="16" xfId="0" applyFont="1" applyFill="1" applyBorder="1" applyAlignment="1">
      <alignment horizontal="left" vertical="center"/>
    </xf>
    <xf numFmtId="175" fontId="32" fillId="0" borderId="6" xfId="0" applyFont="1" applyBorder="1" applyAlignment="1">
      <alignment horizontal="right" vertical="center"/>
    </xf>
    <xf numFmtId="175" fontId="32" fillId="0" borderId="5" xfId="0" applyFont="1" applyBorder="1" applyAlignment="1">
      <alignment horizontal="right" vertical="center"/>
    </xf>
    <xf numFmtId="175" fontId="32" fillId="0" borderId="0" xfId="0" applyFont="1" applyFill="1" applyBorder="1" applyAlignment="1">
      <alignment horizontal="left" wrapText="1"/>
    </xf>
    <xf numFmtId="175" fontId="37" fillId="0" borderId="6" xfId="0" applyFont="1" applyBorder="1" applyAlignment="1">
      <alignment horizontal="left" vertical="center" wrapText="1"/>
    </xf>
    <xf numFmtId="175" fontId="37" fillId="0" borderId="0" xfId="0" applyFont="1" applyBorder="1" applyAlignment="1">
      <alignment horizontal="left" wrapText="1"/>
    </xf>
    <xf numFmtId="175" fontId="28" fillId="0" borderId="0" xfId="0" applyFont="1" applyFill="1" applyBorder="1" applyAlignment="1">
      <alignment horizontal="left" vertical="center"/>
    </xf>
    <xf numFmtId="175" fontId="34" fillId="37" borderId="6" xfId="0" applyFont="1" applyFill="1" applyBorder="1" applyAlignment="1">
      <alignment horizontal="left" vertical="center"/>
    </xf>
    <xf numFmtId="175" fontId="34" fillId="37" borderId="5" xfId="0" applyFont="1" applyFill="1" applyBorder="1" applyAlignment="1">
      <alignment horizontal="left" vertical="center"/>
    </xf>
    <xf numFmtId="175" fontId="34" fillId="37" borderId="6" xfId="0" applyFont="1" applyFill="1" applyBorder="1" applyAlignment="1">
      <alignment horizontal="right" vertical="center"/>
    </xf>
    <xf numFmtId="175" fontId="34" fillId="37" borderId="5" xfId="0" applyFont="1" applyFill="1" applyBorder="1" applyAlignment="1">
      <alignment horizontal="right" vertical="center"/>
    </xf>
    <xf numFmtId="175" fontId="32" fillId="0" borderId="0" xfId="0" applyFont="1" applyFill="1" applyBorder="1" applyAlignment="1">
      <alignment horizontal="left" vertical="top" wrapText="1"/>
    </xf>
    <xf numFmtId="175" fontId="32" fillId="0" borderId="6" xfId="0" applyFont="1" applyBorder="1" applyAlignment="1">
      <alignment horizontal="left" vertical="center"/>
    </xf>
    <xf numFmtId="175" fontId="32" fillId="0" borderId="5" xfId="0" applyFont="1" applyBorder="1" applyAlignment="1">
      <alignment horizontal="left" vertical="center"/>
    </xf>
    <xf numFmtId="175" fontId="32" fillId="0" borderId="6" xfId="0" applyFont="1" applyBorder="1" applyAlignment="1">
      <alignment horizontal="left" vertical="center" wrapText="1"/>
    </xf>
    <xf numFmtId="175" fontId="37" fillId="0" borderId="6" xfId="0" applyFont="1" applyBorder="1" applyAlignment="1">
      <alignment horizontal="left" vertical="top" wrapText="1"/>
    </xf>
    <xf numFmtId="175" fontId="37" fillId="0" borderId="6" xfId="0" applyFont="1" applyBorder="1" applyAlignment="1">
      <alignment horizontal="left" wrapText="1"/>
    </xf>
    <xf numFmtId="175" fontId="27" fillId="0" borderId="0" xfId="0" applyFont="1" applyFill="1" applyAlignment="1">
      <alignment horizontal="right" vertical="top"/>
    </xf>
    <xf numFmtId="175" fontId="33" fillId="0" borderId="0" xfId="0" applyFont="1" applyFill="1" applyBorder="1" applyAlignment="1">
      <alignment horizontal="center" vertical="center"/>
    </xf>
    <xf numFmtId="175" fontId="52" fillId="0" borderId="6" xfId="0" applyFont="1" applyBorder="1" applyAlignment="1">
      <alignment horizontal="left" vertical="center"/>
    </xf>
    <xf numFmtId="175" fontId="52" fillId="0" borderId="5" xfId="0" applyFont="1" applyBorder="1" applyAlignment="1">
      <alignment horizontal="left" vertical="center"/>
    </xf>
    <xf numFmtId="175" fontId="52" fillId="0" borderId="13" xfId="0" applyFont="1" applyBorder="1" applyAlignment="1">
      <alignment horizontal="center" vertical="top"/>
    </xf>
    <xf numFmtId="175" fontId="52" fillId="0" borderId="13" xfId="0" applyFont="1" applyBorder="1" applyAlignment="1">
      <alignment horizontal="center"/>
    </xf>
    <xf numFmtId="175" fontId="37" fillId="0" borderId="0" xfId="0" applyFont="1" applyBorder="1" applyAlignment="1">
      <alignment horizontal="left" vertical="center" wrapText="1"/>
    </xf>
    <xf numFmtId="175" fontId="37" fillId="0" borderId="0" xfId="0" applyFont="1" applyBorder="1" applyAlignment="1">
      <alignment horizontal="left" vertical="top" wrapText="1"/>
    </xf>
    <xf numFmtId="175" fontId="52" fillId="0" borderId="0" xfId="0" applyFont="1" applyAlignment="1">
      <alignment horizontal="left" vertical="top" wrapText="1"/>
    </xf>
    <xf numFmtId="175" fontId="37" fillId="0" borderId="6" xfId="0" applyFont="1" applyBorder="1" applyAlignment="1">
      <alignment horizontal="left"/>
    </xf>
    <xf numFmtId="197" fontId="52" fillId="0" borderId="0" xfId="0" applyNumberFormat="1" applyFont="1" applyAlignment="1">
      <alignment horizontal="right" vertical="top"/>
    </xf>
  </cellXfs>
  <cellStyles count="8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" xfId="33"/>
    <cellStyle name="Base 0 dec" xfId="34"/>
    <cellStyle name="Base 1 dec" xfId="35"/>
    <cellStyle name="Base 2 dec" xfId="36"/>
    <cellStyle name="Buena" xfId="37"/>
    <cellStyle name="Cabecera 1" xfId="38"/>
    <cellStyle name="Cabecera 2" xfId="39"/>
    <cellStyle name="Cálculo" xfId="40"/>
    <cellStyle name="Capitulo" xfId="41"/>
    <cellStyle name="Celda de comprobación" xfId="42"/>
    <cellStyle name="Celda vinculada" xfId="43"/>
    <cellStyle name="Custom - Modelo8" xfId="44"/>
    <cellStyle name="Dec(1)" xfId="45"/>
    <cellStyle name="Dec(1) 2" xfId="46"/>
    <cellStyle name="Dec(2)" xfId="47"/>
    <cellStyle name="Dec(2) 2" xfId="48"/>
    <cellStyle name="Descripciones" xfId="49"/>
    <cellStyle name="Enc. der" xfId="50"/>
    <cellStyle name="Enc. izq" xfId="51"/>
    <cellStyle name="Encabezado 4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  <cellStyle name="Entrada" xfId="59"/>
    <cellStyle name="Etiqueta" xfId="60"/>
    <cellStyle name="Euro" xfId="61"/>
    <cellStyle name="Fecha" xfId="62"/>
    <cellStyle name="Fijo" xfId="63"/>
    <cellStyle name="hh" xfId="64"/>
    <cellStyle name="Hyperlink" xfId="65"/>
    <cellStyle name="Followed Hyperlink" xfId="66"/>
    <cellStyle name="Incorrecto" xfId="67"/>
    <cellStyle name="Linea Inferior" xfId="68"/>
    <cellStyle name="Linea Superior" xfId="69"/>
    <cellStyle name="Linea Tipo" xfId="70"/>
    <cellStyle name="Miles" xfId="71"/>
    <cellStyle name="Miles 1 dec" xfId="72"/>
    <cellStyle name="Miles 1 dec 2" xfId="73"/>
    <cellStyle name="Miles 2" xfId="74"/>
    <cellStyle name="Comma" xfId="75"/>
    <cellStyle name="Comma [0]" xfId="76"/>
    <cellStyle name="Currency" xfId="77"/>
    <cellStyle name="Currency [0]" xfId="78"/>
    <cellStyle name="Monetario0" xfId="79"/>
    <cellStyle name="Neutral" xfId="80"/>
    <cellStyle name="Normal 2" xfId="81"/>
    <cellStyle name="Normal_AGENDA_2004" xfId="82"/>
    <cellStyle name="Normal_Libro2" xfId="83"/>
    <cellStyle name="Normal_NAC_ENT" xfId="84"/>
    <cellStyle name="Notas" xfId="85"/>
    <cellStyle name="Num. cuadro" xfId="86"/>
    <cellStyle name="Pie" xfId="87"/>
    <cellStyle name="Percent" xfId="88"/>
    <cellStyle name="Punto0" xfId="89"/>
    <cellStyle name="Salida" xfId="90"/>
    <cellStyle name="Texto de advertencia" xfId="91"/>
    <cellStyle name="Texto explicativo" xfId="92"/>
    <cellStyle name="Titulo" xfId="93"/>
    <cellStyle name="Título" xfId="94"/>
    <cellStyle name="Título 1" xfId="95"/>
    <cellStyle name="Título 2" xfId="96"/>
    <cellStyle name="Título 3" xfId="97"/>
    <cellStyle name="Total" xfId="98"/>
    <cellStyle name="Total 2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66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EBF9EB"/>
      <rgbColor rgb="00FFFFE1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externalLink" Target="externalLinks/externalLink8.xml" /><Relationship Id="rId35" Type="http://schemas.openxmlformats.org/officeDocument/2006/relationships/externalLink" Target="externalLinks/externalLink9.xml" /><Relationship Id="rId36" Type="http://schemas.openxmlformats.org/officeDocument/2006/relationships/externalLink" Target="externalLinks/externalLink10.xml" /><Relationship Id="rId37" Type="http://schemas.openxmlformats.org/officeDocument/2006/relationships/externalLink" Target="externalLinks/externalLink11.xml" /><Relationship Id="rId38" Type="http://schemas.openxmlformats.org/officeDocument/2006/relationships/externalLink" Target="externalLinks/externalLink12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Ingreso corriente monetario</a:t>
            </a:r>
          </a:p>
        </c:rich>
      </c:tx>
      <c:layout>
        <c:manualLayout>
          <c:xMode val="factor"/>
          <c:yMode val="factor"/>
          <c:x val="-0.00125"/>
          <c:y val="-0.0165"/>
        </c:manualLayout>
      </c:layout>
      <c:spPr>
        <a:noFill/>
        <a:ln w="3175">
          <a:noFill/>
        </a:ln>
      </c:spPr>
    </c:title>
    <c:view3D>
      <c:rotX val="3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"/>
          <c:y val="0.11825"/>
          <c:w val="0.9945"/>
          <c:h val="0.477"/>
        </c:manualLayout>
      </c:layout>
      <c:pie3DChart>
        <c:varyColors val="1"/>
        <c:firstSliceAng val="10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3"/>
          <c:y val="0.60225"/>
          <c:w val="0.67925"/>
          <c:h val="0.3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424242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Ingreso corriente monetario</a:t>
            </a:r>
          </a:p>
        </c:rich>
      </c:tx>
      <c:layout>
        <c:manualLayout>
          <c:xMode val="factor"/>
          <c:yMode val="factor"/>
          <c:x val="-0.0015"/>
          <c:y val="-0.01575"/>
        </c:manualLayout>
      </c:layout>
      <c:spPr>
        <a:noFill/>
        <a:ln w="3175">
          <a:noFill/>
        </a:ln>
      </c:spPr>
    </c:title>
    <c:view3D>
      <c:rotX val="30"/>
      <c:hPercent val="100"/>
      <c:rotY val="80"/>
      <c:depthPercent val="100"/>
      <c:rAngAx val="1"/>
    </c:view3D>
    <c:plotArea>
      <c:layout>
        <c:manualLayout>
          <c:xMode val="edge"/>
          <c:yMode val="edge"/>
          <c:x val="0.0575"/>
          <c:y val="0.07975"/>
          <c:w val="0.528"/>
          <c:h val="0.83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BF1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600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424242"/>
                        </a:solidFill>
                      </a:rPr>
                      <a:t>75.8%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424242"/>
                        </a:solidFill>
                      </a:rPr>
                      <a:t>9.3%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424242"/>
                        </a:solidFill>
                      </a:rPr>
                      <a:t>2.4%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424242"/>
                        </a:solidFill>
                      </a:rPr>
                      <a:t>2.4%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424242"/>
                        </a:solidFill>
                      </a:rPr>
                      <a:t>10.0%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424242"/>
                        </a:solidFill>
                      </a:rPr>
                      <a:t>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'C7 (Pág. 24)gmf'!$B$73:$B$78</c:f>
              <c:strCache/>
            </c:strRef>
          </c:cat>
          <c:val>
            <c:numRef>
              <c:f>'C7 (Pág. 24)gmf'!$C$73:$C$78</c:f>
              <c:numCache/>
            </c:numRef>
          </c:val>
        </c:ser>
        <c:firstSliceAng val="8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"/>
          <c:y val="0.7385"/>
          <c:w val="0.93725"/>
          <c:h val="0.2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424242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Ingreso corriente no monetario</a:t>
            </a:r>
          </a:p>
        </c:rich>
      </c:tx>
      <c:layout>
        <c:manualLayout>
          <c:xMode val="factor"/>
          <c:yMode val="factor"/>
          <c:x val="-0.0015"/>
          <c:y val="-0.015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7925"/>
          <c:y val="0.07975"/>
          <c:w val="0.8395"/>
          <c:h val="0.8385"/>
        </c:manualLayout>
      </c:layout>
      <c:pie3DChart>
        <c:varyColors val="1"/>
        <c:ser>
          <c:idx val="0"/>
          <c:order val="0"/>
          <c:tx>
            <c:strRef>
              <c:f>'C7 (Pág. 24)gmf'!$B$80:$B$83</c:f>
              <c:strCache>
                <c:ptCount val="1"/>
                <c:pt idx="0">
                  <c:v>Autoconsumo Remuneraciones en especie Transferencias en especie Estimaciones del alquiler de la vivienda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1BF1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6004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424242"/>
                        </a:solidFill>
                      </a:rPr>
                      <a:t>1.6%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424242"/>
                        </a:solidFill>
                      </a:rPr>
                      <a:t>3.6%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424242"/>
                        </a:solidFill>
                      </a:rPr>
                      <a:t>30.0%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424242"/>
                        </a:solidFill>
                      </a:rPr>
                      <a:t>64.8%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424242"/>
                  </a:solidFill>
                </a:ln>
              </c:spPr>
            </c:leaderLines>
          </c:dLbls>
          <c:cat>
            <c:strRef>
              <c:f>'C7 (Pág. 24)gmf'!$B$80:$B$83</c:f>
              <c:strCache/>
            </c:strRef>
          </c:cat>
          <c:val>
            <c:numRef>
              <c:f>'C7 (Pág. 24)gmf'!$C$80:$C$83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975"/>
          <c:y val="0.8275"/>
          <c:w val="0.81175"/>
          <c:h val="0.1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424242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424242"/>
                </a:solidFill>
              </a:rPr>
              <a:t>INGRESO CORRIENTE MONETARIO</a:t>
            </a:r>
          </a:p>
        </c:rich>
      </c:tx>
      <c:layout>
        <c:manualLayout>
          <c:xMode val="factor"/>
          <c:yMode val="factor"/>
          <c:x val="0"/>
          <c:y val="-0.01625"/>
        </c:manualLayout>
      </c:layout>
      <c:spPr>
        <a:noFill/>
        <a:ln w="3175">
          <a:noFill/>
        </a:ln>
      </c:spPr>
    </c:title>
    <c:view3D>
      <c:rotX val="3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"/>
          <c:y val="0.1175"/>
          <c:w val="0.9915"/>
          <c:h val="0.47775"/>
        </c:manualLayout>
      </c:layout>
      <c:pie3DChart>
        <c:varyColors val="1"/>
        <c:ser>
          <c:idx val="0"/>
          <c:order val="0"/>
          <c:tx>
            <c:v>REMUNERACIONES POR TRABAJO SUBORDINADO, INGRESOS POR TRABAJO INDEPENDIENTE, INGRESOS DE OTROS TRABAJOS, RENTA DE LA PROPIEDAD, TRANSFERENCIAS, OTROS INGRESOS CORRIENTES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3A2C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'C7 (Pág. 24) (2)'!$S$16:$S$21</c:f>
              <c:strCache/>
            </c:strRef>
          </c:cat>
          <c:val>
            <c:numLit>
              <c:ptCount val="6"/>
              <c:pt idx="0">
                <c:v>75.78</c:v>
              </c:pt>
              <c:pt idx="1">
                <c:v>9.31</c:v>
              </c:pt>
              <c:pt idx="2">
                <c:v>2.36999999999999</c:v>
              </c:pt>
              <c:pt idx="3">
                <c:v>2.44</c:v>
              </c:pt>
              <c:pt idx="4">
                <c:v>10.01</c:v>
              </c:pt>
              <c:pt idx="5">
                <c:v>0.1</c:v>
              </c:pt>
            </c:numLit>
          </c:val>
        </c:ser>
        <c:firstSliceAng val="10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85"/>
          <c:y val="0.60375"/>
          <c:w val="0.67575"/>
          <c:h val="0.3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424242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424242"/>
                </a:solidFill>
              </a:rPr>
              <a:t>INGRESO CORRIENTE NO MONETARIO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"/>
          <c:y val="0.11675"/>
          <c:w val="0.9955"/>
          <c:h val="0.47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'C7 (Pág. 24) (2)'!$S$23:$S$24</c:f>
              <c:strCache/>
            </c:strRef>
          </c:cat>
          <c:val>
            <c:numLit>
              <c:ptCount val="4"/>
              <c:pt idx="0">
                <c:v>1.62</c:v>
              </c:pt>
              <c:pt idx="1">
                <c:v>3.61</c:v>
              </c:pt>
              <c:pt idx="2">
                <c:v>29.95</c:v>
              </c:pt>
              <c:pt idx="3">
                <c:v>64.81</c:v>
              </c:pt>
            </c:numLit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"/>
          <c:y val="0.70025"/>
          <c:w val="0.62975"/>
          <c:h val="0.2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424242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Gasto corriente monetario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</c:title>
    <c:view3D>
      <c:rotX val="3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"/>
          <c:y val="0.11775"/>
          <c:w val="0.996"/>
          <c:h val="0.47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6004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61BF1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'C7 (Pág. 25) gmf'!$B$12:$B$20</c:f>
              <c:strCache/>
            </c:strRef>
          </c:cat>
          <c:val>
            <c:numLit>
              <c:ptCount val="9"/>
              <c:pt idx="0">
                <c:v>34.8305728879635</c:v>
              </c:pt>
              <c:pt idx="1">
                <c:v>5.7059270562006</c:v>
              </c:pt>
              <c:pt idx="2">
                <c:v>8.88153172455549</c:v>
              </c:pt>
              <c:pt idx="3">
                <c:v>5.54048606155499</c:v>
              </c:pt>
              <c:pt idx="4">
                <c:v>2.38755539567232</c:v>
              </c:pt>
              <c:pt idx="5">
                <c:v>18.5559643320135</c:v>
              </c:pt>
              <c:pt idx="6">
                <c:v>14.5748486229172</c:v>
              </c:pt>
              <c:pt idx="7">
                <c:v>6.90751848775602</c:v>
              </c:pt>
              <c:pt idx="8">
                <c:v>2.61559543157161</c:v>
              </c:pt>
            </c:numLit>
          </c:val>
        </c:ser>
        <c:firstSliceAng val="10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225"/>
          <c:y val="0.04475"/>
          <c:w val="0.34"/>
          <c:h val="0.9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424242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Gasto corriente no monetario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"/>
          <c:y val="0.117"/>
          <c:w val="0.996"/>
          <c:h val="0.47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1BF1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6004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'C7 (Pág. 25) gmf'!$B$22:$B$25</c:f>
              <c:strCache/>
            </c:strRef>
          </c:cat>
          <c:val>
            <c:numLit>
              <c:ptCount val="4"/>
              <c:pt idx="0">
                <c:v>1.62454798648317</c:v>
              </c:pt>
              <c:pt idx="1">
                <c:v>3.6087524087633</c:v>
              </c:pt>
              <c:pt idx="2">
                <c:v>29.9525288689703</c:v>
              </c:pt>
              <c:pt idx="3">
                <c:v>64.8141707357831</c:v>
              </c:pt>
            </c:numLit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"/>
          <c:y val="0.78725"/>
          <c:w val="0.63"/>
          <c:h val="0.1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424242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424242"/>
                </a:solidFill>
              </a:rPr>
              <a:t>DISTRIBUCIÓN DEL GASTO CORRIENTE MONETARIO</a:t>
            </a:r>
          </a:p>
        </c:rich>
      </c:tx>
      <c:layout>
        <c:manualLayout>
          <c:xMode val="factor"/>
          <c:yMode val="factor"/>
          <c:x val="-0.00125"/>
          <c:y val="-0.016"/>
        </c:manualLayout>
      </c:layout>
      <c:spPr>
        <a:noFill/>
        <a:ln w="3175">
          <a:noFill/>
        </a:ln>
      </c:spPr>
    </c:title>
    <c:view3D>
      <c:rotX val="3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"/>
          <c:y val="0.117"/>
          <c:w val="0.9945"/>
          <c:h val="0.47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ALIMENTOS, BEBIDAS Y TABACO</c:v>
              </c:pt>
              <c:pt idx="1">
                <c:v>VESTIDO Y CALZADO</c:v>
              </c:pt>
              <c:pt idx="2">
                <c:v>VIVIENDA, SERVICIOS DE CONSERVACIÓN, ENERGÍA ELÉCTRICA Y COMBUSTIBLES </c:v>
              </c:pt>
              <c:pt idx="3">
                <c:v>ARTÍCULOS Y SERVICIOS PARA LA LIMPIEZA, CUIDADOS DE LA CASA, ENSERES DOMÉSTICOS Y MUEBLES, CRISTALERÍA, UTENSILIOS DOMÉSTICOS Y BLANCOS  </c:v>
              </c:pt>
              <c:pt idx="4">
                <c:v>CUIDADOS DE LA SALUD</c:v>
              </c:pt>
              <c:pt idx="5">
                <c:v>TRANSPORTE; ADQUISICIÓN, MANTENIMIENTO, ACCESORIOS Y SERVICIOS PARA VEHÍCULOS; COMUNICACIONES </c:v>
              </c:pt>
              <c:pt idx="6">
                <c:v>SERVICIOS DE EDUCACIÓN, ARTÍCULOS EDUCATIVOS, ARTÍCULOS DE ESPARCIMIENTO Y OTROS GASTOS DE ESPARCIMIENTO</c:v>
              </c:pt>
              <c:pt idx="7">
                <c:v>CUIDADOS PERSONALES, ACCESORIOS Y EFECTOS PERSONALES  Y OTROS GASTOS DIVERSOS</c:v>
              </c:pt>
              <c:pt idx="8">
                <c:v>TRANSFERENCIAS DE GASTO</c:v>
              </c:pt>
            </c:strLit>
          </c:cat>
          <c:val>
            <c:numLit>
              <c:ptCount val="9"/>
              <c:pt idx="0">
                <c:v>34.83057288796355</c:v>
              </c:pt>
              <c:pt idx="1">
                <c:v>5.705927056200601</c:v>
              </c:pt>
              <c:pt idx="2">
                <c:v>8.88153172455549</c:v>
              </c:pt>
              <c:pt idx="3">
                <c:v>5.540486061555002</c:v>
              </c:pt>
              <c:pt idx="4">
                <c:v>2.3875553956723223</c:v>
              </c:pt>
              <c:pt idx="5">
                <c:v>18.55596433201358</c:v>
              </c:pt>
              <c:pt idx="6">
                <c:v>14.574848622917289</c:v>
              </c:pt>
              <c:pt idx="7">
                <c:v>6.907518487756022</c:v>
              </c:pt>
              <c:pt idx="8">
                <c:v>2.6155954315716206</c:v>
              </c:pt>
            </c:numLit>
          </c:val>
        </c:ser>
        <c:firstSliceAng val="10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9"/>
          <c:y val="0.609"/>
          <c:w val="0.919"/>
          <c:h val="0.3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424242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424242"/>
                </a:solidFill>
              </a:rPr>
              <a:t>COMPOSICIÓN DEL GASTO CORRIENTE NO MONETARIO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"/>
          <c:y val="0.1165"/>
          <c:w val="0.99725"/>
          <c:h val="0.47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AUTOCONSUMO</c:v>
              </c:pt>
              <c:pt idx="1">
                <c:v>REMUNERACIONES EN ESPECIE</c:v>
              </c:pt>
              <c:pt idx="2">
                <c:v>TRANSFERENCIAS EN ESPECIE</c:v>
              </c:pt>
              <c:pt idx="3">
                <c:v>ESTIMACIÓN DEL ALQUILER DE LA VIVIENDA </c:v>
              </c:pt>
            </c:strLit>
          </c:cat>
          <c:val>
            <c:numLit>
              <c:ptCount val="4"/>
              <c:pt idx="0">
                <c:v>1.6245479864831758</c:v>
              </c:pt>
              <c:pt idx="1">
                <c:v>3.6087524087633085</c:v>
              </c:pt>
              <c:pt idx="2">
                <c:v>29.952528868970337</c:v>
              </c:pt>
              <c:pt idx="3">
                <c:v>64.81417073578318</c:v>
              </c:pt>
            </c:numLit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8"/>
          <c:y val="0.69275"/>
          <c:w val="0.63025"/>
          <c:h val="0.2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424242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47625</xdr:rowOff>
    </xdr:from>
    <xdr:to>
      <xdr:col>7</xdr:col>
      <xdr:colOff>0</xdr:colOff>
      <xdr:row>30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3143250" y="5848350"/>
          <a:ext cx="71723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424242"/>
              </a:solidFill>
              <a:latin typeface="Gotham Medium"/>
              <a:ea typeface="Gotham Medium"/>
              <a:cs typeface="Gotham Medium"/>
            </a:rPr>
            <a:t>Composición del ingreso corriente total
</a:t>
          </a:r>
          <a:r>
            <a:rPr lang="en-US" cap="none" sz="1600" b="0" i="0" u="none" baseline="0">
              <a:solidFill>
                <a:srgbClr val="424242"/>
              </a:solidFill>
              <a:latin typeface="Gotham Medium"/>
              <a:ea typeface="Gotham Medium"/>
              <a:cs typeface="Gotham Medium"/>
            </a:rPr>
            <a:t>2010</a:t>
          </a:r>
        </a:p>
      </xdr:txBody>
    </xdr:sp>
    <xdr:clientData/>
  </xdr:twoCellAnchor>
  <xdr:twoCellAnchor>
    <xdr:from>
      <xdr:col>0</xdr:col>
      <xdr:colOff>38100</xdr:colOff>
      <xdr:row>33</xdr:row>
      <xdr:rowOff>47625</xdr:rowOff>
    </xdr:from>
    <xdr:to>
      <xdr:col>6</xdr:col>
      <xdr:colOff>0</xdr:colOff>
      <xdr:row>65</xdr:row>
      <xdr:rowOff>85725</xdr:rowOff>
    </xdr:to>
    <xdr:graphicFrame>
      <xdr:nvGraphicFramePr>
        <xdr:cNvPr id="2" name="2 Gráfico"/>
        <xdr:cNvGraphicFramePr/>
      </xdr:nvGraphicFramePr>
      <xdr:xfrm>
        <a:off x="38100" y="6800850"/>
        <a:ext cx="721042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33</xdr:row>
      <xdr:rowOff>38100</xdr:rowOff>
    </xdr:from>
    <xdr:to>
      <xdr:col>4</xdr:col>
      <xdr:colOff>742950</xdr:colOff>
      <xdr:row>61</xdr:row>
      <xdr:rowOff>104775</xdr:rowOff>
    </xdr:to>
    <xdr:graphicFrame>
      <xdr:nvGraphicFramePr>
        <xdr:cNvPr id="3" name="5 Gráfico"/>
        <xdr:cNvGraphicFramePr/>
      </xdr:nvGraphicFramePr>
      <xdr:xfrm>
        <a:off x="28575" y="6791325"/>
        <a:ext cx="6115050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9</xdr:col>
      <xdr:colOff>0</xdr:colOff>
      <xdr:row>61</xdr:row>
      <xdr:rowOff>66675</xdr:rowOff>
    </xdr:to>
    <xdr:graphicFrame>
      <xdr:nvGraphicFramePr>
        <xdr:cNvPr id="4" name="23 Gráfico"/>
        <xdr:cNvGraphicFramePr/>
      </xdr:nvGraphicFramePr>
      <xdr:xfrm>
        <a:off x="6324600" y="6753225"/>
        <a:ext cx="6248400" cy="5400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26</xdr:row>
      <xdr:rowOff>47625</xdr:rowOff>
    </xdr:from>
    <xdr:to>
      <xdr:col>14</xdr:col>
      <xdr:colOff>276225</xdr:colOff>
      <xdr:row>28</xdr:row>
      <xdr:rowOff>361950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3600450" y="5143500"/>
          <a:ext cx="75723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424242"/>
              </a:solidFill>
            </a:rPr>
            <a:t>COMPOSICIÓN DEL INGRESO CORRIENTE TOTAL 2010</a:t>
          </a:r>
        </a:p>
      </xdr:txBody>
    </xdr:sp>
    <xdr:clientData/>
  </xdr:twoCellAnchor>
  <xdr:twoCellAnchor>
    <xdr:from>
      <xdr:col>13</xdr:col>
      <xdr:colOff>885825</xdr:colOff>
      <xdr:row>34</xdr:row>
      <xdr:rowOff>104775</xdr:rowOff>
    </xdr:from>
    <xdr:to>
      <xdr:col>14</xdr:col>
      <xdr:colOff>609600</xdr:colOff>
      <xdr:row>34</xdr:row>
      <xdr:rowOff>352425</xdr:rowOff>
    </xdr:to>
    <xdr:sp fLocksText="0">
      <xdr:nvSpPr>
        <xdr:cNvPr id="2" name="CuadroTexto 14"/>
        <xdr:cNvSpPr txBox="1">
          <a:spLocks noChangeArrowheads="1"/>
        </xdr:cNvSpPr>
      </xdr:nvSpPr>
      <xdr:spPr>
        <a:xfrm>
          <a:off x="10772775" y="6686550"/>
          <a:ext cx="7334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38100</xdr:colOff>
      <xdr:row>31</xdr:row>
      <xdr:rowOff>47625</xdr:rowOff>
    </xdr:from>
    <xdr:to>
      <xdr:col>11</xdr:col>
      <xdr:colOff>285750</xdr:colOff>
      <xdr:row>63</xdr:row>
      <xdr:rowOff>85725</xdr:rowOff>
    </xdr:to>
    <xdr:graphicFrame>
      <xdr:nvGraphicFramePr>
        <xdr:cNvPr id="3" name="2 Gráfico"/>
        <xdr:cNvGraphicFramePr/>
      </xdr:nvGraphicFramePr>
      <xdr:xfrm>
        <a:off x="38100" y="6162675"/>
        <a:ext cx="88392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238125</xdr:colOff>
      <xdr:row>31</xdr:row>
      <xdr:rowOff>47625</xdr:rowOff>
    </xdr:from>
    <xdr:to>
      <xdr:col>18</xdr:col>
      <xdr:colOff>800100</xdr:colOff>
      <xdr:row>59</xdr:row>
      <xdr:rowOff>66675</xdr:rowOff>
    </xdr:to>
    <xdr:graphicFrame>
      <xdr:nvGraphicFramePr>
        <xdr:cNvPr id="4" name="2 Gráfico"/>
        <xdr:cNvGraphicFramePr/>
      </xdr:nvGraphicFramePr>
      <xdr:xfrm>
        <a:off x="8829675" y="6162675"/>
        <a:ext cx="674370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5</xdr:col>
      <xdr:colOff>0</xdr:colOff>
      <xdr:row>63</xdr:row>
      <xdr:rowOff>161925</xdr:rowOff>
    </xdr:to>
    <xdr:graphicFrame>
      <xdr:nvGraphicFramePr>
        <xdr:cNvPr id="1" name="2 Gráfico"/>
        <xdr:cNvGraphicFramePr/>
      </xdr:nvGraphicFramePr>
      <xdr:xfrm>
        <a:off x="76200" y="8496300"/>
        <a:ext cx="661035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32</xdr:row>
      <xdr:rowOff>171450</xdr:rowOff>
    </xdr:from>
    <xdr:to>
      <xdr:col>9</xdr:col>
      <xdr:colOff>19050</xdr:colOff>
      <xdr:row>61</xdr:row>
      <xdr:rowOff>47625</xdr:rowOff>
    </xdr:to>
    <xdr:graphicFrame>
      <xdr:nvGraphicFramePr>
        <xdr:cNvPr id="2" name="2 Gráfico"/>
        <xdr:cNvGraphicFramePr/>
      </xdr:nvGraphicFramePr>
      <xdr:xfrm>
        <a:off x="6724650" y="8477250"/>
        <a:ext cx="6591300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923925</xdr:colOff>
      <xdr:row>32</xdr:row>
      <xdr:rowOff>57150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76200" y="7734300"/>
          <a:ext cx="132207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424242"/>
              </a:solidFill>
              <a:latin typeface="Gotham Medium"/>
              <a:ea typeface="Gotham Medium"/>
              <a:cs typeface="Gotham Medium"/>
            </a:rPr>
            <a:t>Composición del gasto corriente total
</a:t>
          </a:r>
          <a:r>
            <a:rPr lang="en-US" cap="none" sz="1600" b="0" i="0" u="none" baseline="0">
              <a:solidFill>
                <a:srgbClr val="424242"/>
              </a:solidFill>
              <a:latin typeface="Gotham Medium"/>
              <a:ea typeface="Gotham Medium"/>
              <a:cs typeface="Gotham Medium"/>
            </a:rPr>
            <a:t>2010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33</xdr:row>
      <xdr:rowOff>152400</xdr:rowOff>
    </xdr:from>
    <xdr:to>
      <xdr:col>7</xdr:col>
      <xdr:colOff>257175</xdr:colOff>
      <xdr:row>61</xdr:row>
      <xdr:rowOff>114300</xdr:rowOff>
    </xdr:to>
    <xdr:graphicFrame>
      <xdr:nvGraphicFramePr>
        <xdr:cNvPr id="1" name="2 Gráfico"/>
        <xdr:cNvGraphicFramePr/>
      </xdr:nvGraphicFramePr>
      <xdr:xfrm>
        <a:off x="85725" y="6562725"/>
        <a:ext cx="71913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33</xdr:row>
      <xdr:rowOff>152400</xdr:rowOff>
    </xdr:from>
    <xdr:to>
      <xdr:col>15</xdr:col>
      <xdr:colOff>771525</xdr:colOff>
      <xdr:row>61</xdr:row>
      <xdr:rowOff>0</xdr:rowOff>
    </xdr:to>
    <xdr:graphicFrame>
      <xdr:nvGraphicFramePr>
        <xdr:cNvPr id="2" name="2 Gráfico"/>
        <xdr:cNvGraphicFramePr/>
      </xdr:nvGraphicFramePr>
      <xdr:xfrm>
        <a:off x="8105775" y="6562725"/>
        <a:ext cx="613410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beconomica\Users\Mis%20archivos\Agenda%202009\Agenda\sustento_agenda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e3\c\car\I_E199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beconomica\Users\MIRIS\MIGRACION\SABAD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beconomica\Users\ESTAD_SOCIAL\INF_SOCIAL\Agenda%20Estatal%202007\sustento_agenda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L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beconomica\Users\AGENDA\sustento_agenda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ABAD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beconomica\Users\estad_social\GRAN_VISION\DEMOGRAFIA\EMPLE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estad_social\GRAN_VISION\EMPLE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beconomica\Users\MIRIS\MIGRACION\FERNANDO1_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ERNANDO1_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TADROBERTO\Documentos%20c\WINDOWS\Escritorio\esteco1\ESTECO\INFODISP\social\doc04\SAB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_nacional"/>
      <sheetName val="pob_edomex"/>
      <sheetName val="POB_PROY_EDOMEX"/>
      <sheetName val="POB_PROY_EDOMEX_BUENO"/>
      <sheetName val="NACENTIDAD_EST"/>
      <sheetName val="URBANA_RURAL"/>
      <sheetName val="PROY_NACIONAL"/>
      <sheetName val="ENTIDAD_NAC"/>
      <sheetName val="URBANA_RURAL_NAC"/>
      <sheetName val="educac_nacional"/>
      <sheetName val="POB_ZONAS"/>
      <sheetName val="Municipa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G-EGR."/>
      <sheetName val="INGRESOS"/>
      <sheetName val="EGRESOS"/>
      <sheetName val="INGRESOS (2)"/>
      <sheetName val="EGRESOS (2)"/>
      <sheetName val="RESUMEN"/>
      <sheetName val="ING_EGR_"/>
      <sheetName val="FERNAND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b_nacional"/>
      <sheetName val="pob_edomex"/>
      <sheetName val="POB_PROY_EDOMEX"/>
      <sheetName val="POB_PROY_EDOMEX_BUENO"/>
      <sheetName val="NACENTIDAD_EST"/>
      <sheetName val="URBANA_RURAL"/>
      <sheetName val="PROY_NACIONAL"/>
      <sheetName val="ENTIDAD_NAC"/>
      <sheetName val="URBANA_RURAL_NAC"/>
      <sheetName val="educac_nacional"/>
      <sheetName val="POB_ZONAS"/>
      <sheetName val="Municip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b_nacional"/>
      <sheetName val="pob_edomex"/>
      <sheetName val="POB_PROY_EDOMEX"/>
      <sheetName val="POB_PROY_EDOMEX_BUENO"/>
      <sheetName val="NACENTIDAD_EST"/>
      <sheetName val="URBANA_RURAL"/>
      <sheetName val="PROY_NACIONAL"/>
      <sheetName val="ENTIDAD_NAC"/>
      <sheetName val="URBANA_RURAL_NAC"/>
      <sheetName val="educac_nacional"/>
      <sheetName val="POB_ZONAS"/>
      <sheetName val="Municip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B_ASEGURAD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B_ASEGURAD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9" tint="-0.24997000396251678"/>
  </sheetPr>
  <dimension ref="A1:X60"/>
  <sheetViews>
    <sheetView showGridLines="0" view="pageBreakPreview" zoomScale="80" zoomScaleNormal="60" zoomScaleSheetLayoutView="80" zoomScalePageLayoutView="0" workbookViewId="0" topLeftCell="A4">
      <pane xSplit="5" ySplit="2" topLeftCell="F6" activePane="bottomRight" state="frozen"/>
      <selection pane="topLeft" activeCell="A4" sqref="A4"/>
      <selection pane="topRight" activeCell="F4" sqref="F4"/>
      <selection pane="bottomLeft" activeCell="A6" sqref="A6"/>
      <selection pane="bottomRight" activeCell="G19" sqref="G19"/>
    </sheetView>
  </sheetViews>
  <sheetFormatPr defaultColWidth="5.4453125" defaultRowHeight="15.75"/>
  <cols>
    <col min="1" max="4" width="2.77734375" style="13" customWidth="1"/>
    <col min="5" max="5" width="25.6640625" style="13" customWidth="1"/>
    <col min="6" max="7" width="11.77734375" style="20" customWidth="1"/>
    <col min="8" max="15" width="11.77734375" style="12" customWidth="1"/>
    <col min="16" max="16" width="2.21484375" style="12" customWidth="1"/>
    <col min="17" max="18" width="11.77734375" style="20" customWidth="1"/>
    <col min="19" max="19" width="9.6640625" style="13" customWidth="1"/>
    <col min="20" max="20" width="9.10546875" style="14" bestFit="1" customWidth="1"/>
    <col min="21" max="21" width="12.77734375" style="14" customWidth="1"/>
    <col min="22" max="23" width="12.77734375" style="13" customWidth="1"/>
    <col min="24" max="24" width="12.77734375" style="20" customWidth="1"/>
    <col min="25" max="34" width="12.77734375" style="13" customWidth="1"/>
    <col min="35" max="35" width="5.4453125" style="13" customWidth="1"/>
    <col min="36" max="36" width="12.77734375" style="13" customWidth="1"/>
    <col min="37" max="16384" width="5.4453125" style="13" customWidth="1"/>
  </cols>
  <sheetData>
    <row r="1" spans="1:24" s="60" customFormat="1" ht="24.75" customHeight="1">
      <c r="A1" s="59" t="s">
        <v>295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455" t="s">
        <v>300</v>
      </c>
      <c r="S1" s="455"/>
      <c r="X1" s="61"/>
    </row>
    <row r="2" spans="1:24" s="60" customFormat="1" ht="24.75" customHeight="1">
      <c r="A2" s="59" t="s">
        <v>512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X2" s="61"/>
    </row>
    <row r="3" spans="1:19" ht="24.75" customHeight="1">
      <c r="A3" s="2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24" s="57" customFormat="1" ht="24.75" customHeight="1">
      <c r="A4" s="456" t="s">
        <v>64</v>
      </c>
      <c r="B4" s="456"/>
      <c r="C4" s="456"/>
      <c r="D4" s="456"/>
      <c r="E4" s="456"/>
      <c r="F4" s="458">
        <v>2003</v>
      </c>
      <c r="G4" s="458">
        <v>2004</v>
      </c>
      <c r="H4" s="458">
        <v>2005</v>
      </c>
      <c r="I4" s="458">
        <v>2006</v>
      </c>
      <c r="J4" s="458">
        <v>2007</v>
      </c>
      <c r="K4" s="458">
        <v>2008</v>
      </c>
      <c r="L4" s="458">
        <v>2009</v>
      </c>
      <c r="M4" s="458">
        <v>2010</v>
      </c>
      <c r="N4" s="458">
        <v>2011</v>
      </c>
      <c r="O4" s="460">
        <v>2012</v>
      </c>
      <c r="P4" s="126"/>
      <c r="Q4" s="462" t="s">
        <v>499</v>
      </c>
      <c r="R4" s="463"/>
      <c r="S4" s="463"/>
      <c r="X4" s="58"/>
    </row>
    <row r="5" spans="1:24" s="57" customFormat="1" ht="24.75" customHeight="1">
      <c r="A5" s="457"/>
      <c r="B5" s="457"/>
      <c r="C5" s="457"/>
      <c r="D5" s="457"/>
      <c r="E5" s="457"/>
      <c r="F5" s="459"/>
      <c r="G5" s="459"/>
      <c r="H5" s="459"/>
      <c r="I5" s="459"/>
      <c r="J5" s="459"/>
      <c r="K5" s="459"/>
      <c r="L5" s="459"/>
      <c r="M5" s="459"/>
      <c r="N5" s="459"/>
      <c r="O5" s="461"/>
      <c r="P5" s="131"/>
      <c r="Q5" s="68" t="s">
        <v>65</v>
      </c>
      <c r="R5" s="68" t="s">
        <v>66</v>
      </c>
      <c r="S5" s="69" t="s">
        <v>19</v>
      </c>
      <c r="X5" s="58"/>
    </row>
    <row r="6" spans="1:19" ht="24.75" customHeight="1">
      <c r="A6" s="42"/>
      <c r="B6" s="42"/>
      <c r="C6" s="42"/>
      <c r="D6" s="42"/>
      <c r="E6" s="42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</row>
    <row r="7" spans="1:24" s="66" customFormat="1" ht="24.75" customHeight="1">
      <c r="A7" s="79" t="s">
        <v>493</v>
      </c>
      <c r="B7" s="63"/>
      <c r="C7" s="63"/>
      <c r="D7" s="63"/>
      <c r="E7" s="63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5"/>
      <c r="X7" s="67"/>
    </row>
    <row r="8" spans="1:20" s="74" customFormat="1" ht="24.75" customHeight="1">
      <c r="A8" s="70"/>
      <c r="B8" s="70" t="s">
        <v>303</v>
      </c>
      <c r="C8" s="70"/>
      <c r="D8" s="70"/>
      <c r="E8" s="70"/>
      <c r="F8" s="71">
        <v>13643171</v>
      </c>
      <c r="G8" s="71">
        <v>13825333</v>
      </c>
      <c r="H8" s="71">
        <v>14007495</v>
      </c>
      <c r="I8" s="71">
        <v>14241168</v>
      </c>
      <c r="J8" s="71">
        <v>14474842</v>
      </c>
      <c r="K8" s="71">
        <v>14708515</v>
      </c>
      <c r="L8" s="71">
        <v>14942189</v>
      </c>
      <c r="M8" s="71">
        <v>15175862</v>
      </c>
      <c r="N8" s="71">
        <v>15845558</v>
      </c>
      <c r="O8" s="71">
        <v>16106485</v>
      </c>
      <c r="P8" s="71"/>
      <c r="Q8" s="71">
        <v>118395054</v>
      </c>
      <c r="R8" s="71">
        <v>16364210</v>
      </c>
      <c r="S8" s="72">
        <f>(R8/Q8)*100</f>
        <v>13.821700693679315</v>
      </c>
      <c r="T8" s="73"/>
    </row>
    <row r="9" spans="1:24" s="74" customFormat="1" ht="24.75" customHeight="1">
      <c r="A9" s="79"/>
      <c r="B9" s="79"/>
      <c r="C9" s="75" t="s">
        <v>304</v>
      </c>
      <c r="D9" s="75"/>
      <c r="E9" s="75"/>
      <c r="F9" s="76">
        <v>6662578</v>
      </c>
      <c r="G9" s="76">
        <v>6747700</v>
      </c>
      <c r="H9" s="76">
        <v>6832822</v>
      </c>
      <c r="I9" s="76">
        <v>6945655</v>
      </c>
      <c r="J9" s="76">
        <v>7058488</v>
      </c>
      <c r="K9" s="76">
        <v>7171320</v>
      </c>
      <c r="L9" s="76">
        <v>7284153</v>
      </c>
      <c r="M9" s="76">
        <v>7396986</v>
      </c>
      <c r="N9" s="76">
        <v>7735706</v>
      </c>
      <c r="O9" s="76">
        <v>7864368</v>
      </c>
      <c r="P9" s="76"/>
      <c r="Q9" s="76">
        <v>57810955</v>
      </c>
      <c r="R9" s="76">
        <v>7991380</v>
      </c>
      <c r="S9" s="77">
        <f>(R9/Q9)*100</f>
        <v>13.823296985839448</v>
      </c>
      <c r="T9" s="73"/>
      <c r="X9" s="78"/>
    </row>
    <row r="10" spans="1:24" s="74" customFormat="1" ht="24.75" customHeight="1">
      <c r="A10" s="80"/>
      <c r="B10" s="80"/>
      <c r="C10" s="70" t="s">
        <v>149</v>
      </c>
      <c r="D10" s="70"/>
      <c r="E10" s="70"/>
      <c r="F10" s="71">
        <v>6980593</v>
      </c>
      <c r="G10" s="71">
        <v>7077633</v>
      </c>
      <c r="H10" s="71">
        <v>7174673</v>
      </c>
      <c r="I10" s="71">
        <v>7295513</v>
      </c>
      <c r="J10" s="71">
        <v>7416354</v>
      </c>
      <c r="K10" s="71">
        <v>7537195</v>
      </c>
      <c r="L10" s="71">
        <v>7658036</v>
      </c>
      <c r="M10" s="71">
        <v>7778876</v>
      </c>
      <c r="N10" s="71">
        <v>8109852</v>
      </c>
      <c r="O10" s="71">
        <v>8242117</v>
      </c>
      <c r="P10" s="71"/>
      <c r="Q10" s="71">
        <v>60584099</v>
      </c>
      <c r="R10" s="71">
        <v>8372830</v>
      </c>
      <c r="S10" s="72">
        <f aca="true" t="shared" si="0" ref="S10:S19">(R10/Q10)*100</f>
        <v>13.820177469338942</v>
      </c>
      <c r="T10" s="73"/>
      <c r="X10" s="78"/>
    </row>
    <row r="11" spans="1:20" s="74" customFormat="1" ht="24.75" customHeight="1">
      <c r="A11" s="75"/>
      <c r="B11" s="75" t="s">
        <v>305</v>
      </c>
      <c r="C11" s="75"/>
      <c r="D11" s="75"/>
      <c r="E11" s="84"/>
      <c r="F11" s="76">
        <v>1370366</v>
      </c>
      <c r="G11" s="76">
        <v>1371715</v>
      </c>
      <c r="H11" s="76">
        <v>1373064</v>
      </c>
      <c r="I11" s="76">
        <v>1383774</v>
      </c>
      <c r="J11" s="76">
        <v>1394483</v>
      </c>
      <c r="K11" s="76">
        <v>1405193</v>
      </c>
      <c r="L11" s="76">
        <v>1415902</v>
      </c>
      <c r="M11" s="76">
        <v>1426612</v>
      </c>
      <c r="N11" s="76">
        <v>1528574</v>
      </c>
      <c r="O11" s="76">
        <v>1528850</v>
      </c>
      <c r="P11" s="76"/>
      <c r="Q11" s="76">
        <v>11094676</v>
      </c>
      <c r="R11" s="76">
        <v>1530324</v>
      </c>
      <c r="S11" s="77">
        <f t="shared" si="0"/>
        <v>13.793318525029482</v>
      </c>
      <c r="T11" s="73"/>
    </row>
    <row r="12" spans="1:24" s="74" customFormat="1" ht="24.75" customHeight="1">
      <c r="A12" s="70"/>
      <c r="B12" s="70" t="s">
        <v>306</v>
      </c>
      <c r="C12" s="70"/>
      <c r="D12" s="70"/>
      <c r="E12" s="85"/>
      <c r="F12" s="71">
        <v>2787894</v>
      </c>
      <c r="G12" s="71">
        <v>2780325</v>
      </c>
      <c r="H12" s="71">
        <v>2772756</v>
      </c>
      <c r="I12" s="71">
        <v>2803665</v>
      </c>
      <c r="J12" s="71">
        <v>2834574</v>
      </c>
      <c r="K12" s="71">
        <v>2865484</v>
      </c>
      <c r="L12" s="71">
        <v>2896393</v>
      </c>
      <c r="M12" s="71">
        <v>2927302</v>
      </c>
      <c r="N12" s="71">
        <v>3067912</v>
      </c>
      <c r="O12" s="71">
        <v>3072042</v>
      </c>
      <c r="P12" s="71"/>
      <c r="Q12" s="71">
        <v>22513598</v>
      </c>
      <c r="R12" s="71">
        <v>3074926</v>
      </c>
      <c r="S12" s="72">
        <f t="shared" si="0"/>
        <v>13.65808343917307</v>
      </c>
      <c r="T12" s="73"/>
      <c r="X12" s="78"/>
    </row>
    <row r="13" spans="1:24" s="74" customFormat="1" ht="24.75" customHeight="1">
      <c r="A13" s="75"/>
      <c r="B13" s="75" t="s">
        <v>307</v>
      </c>
      <c r="C13" s="75"/>
      <c r="D13" s="75"/>
      <c r="E13" s="84"/>
      <c r="F13" s="76">
        <v>8319970</v>
      </c>
      <c r="G13" s="76">
        <v>8488043</v>
      </c>
      <c r="H13" s="76">
        <v>8656116</v>
      </c>
      <c r="I13" s="76">
        <v>8902913</v>
      </c>
      <c r="J13" s="76">
        <v>9149711</v>
      </c>
      <c r="K13" s="76">
        <v>9396508</v>
      </c>
      <c r="L13" s="76">
        <v>9643305</v>
      </c>
      <c r="M13" s="76">
        <v>9890102</v>
      </c>
      <c r="N13" s="76">
        <v>10437154</v>
      </c>
      <c r="O13" s="76">
        <v>10654779</v>
      </c>
      <c r="P13" s="76"/>
      <c r="Q13" s="76">
        <v>77044501</v>
      </c>
      <c r="R13" s="76">
        <v>10867026</v>
      </c>
      <c r="S13" s="77">
        <f t="shared" si="0"/>
        <v>14.104869080792671</v>
      </c>
      <c r="T13" s="73"/>
      <c r="X13" s="78"/>
    </row>
    <row r="14" spans="1:24" s="74" customFormat="1" ht="24.75" customHeight="1">
      <c r="A14" s="70"/>
      <c r="B14" s="70" t="s">
        <v>594</v>
      </c>
      <c r="C14" s="70"/>
      <c r="D14" s="70"/>
      <c r="E14" s="85"/>
      <c r="F14" s="71">
        <v>539864</v>
      </c>
      <c r="G14" s="71">
        <v>565764</v>
      </c>
      <c r="H14" s="71">
        <v>585664</v>
      </c>
      <c r="I14" s="71">
        <v>617591</v>
      </c>
      <c r="J14" s="71">
        <v>649518</v>
      </c>
      <c r="K14" s="71">
        <v>681444</v>
      </c>
      <c r="L14" s="71">
        <v>713371</v>
      </c>
      <c r="M14" s="71">
        <v>745298</v>
      </c>
      <c r="N14" s="71">
        <v>811918</v>
      </c>
      <c r="O14" s="71">
        <v>850814</v>
      </c>
      <c r="P14" s="71"/>
      <c r="Q14" s="71">
        <v>7742279</v>
      </c>
      <c r="R14" s="71">
        <v>891934</v>
      </c>
      <c r="S14" s="72">
        <f t="shared" si="0"/>
        <v>11.52030300122225</v>
      </c>
      <c r="T14" s="73"/>
      <c r="X14" s="78"/>
    </row>
    <row r="15" spans="1:24" s="74" customFormat="1" ht="24.75" customHeight="1">
      <c r="A15" s="75"/>
      <c r="B15" s="75" t="s">
        <v>308</v>
      </c>
      <c r="C15" s="75"/>
      <c r="D15" s="75"/>
      <c r="E15" s="84"/>
      <c r="F15" s="76">
        <v>625077</v>
      </c>
      <c r="G15" s="76">
        <v>622486</v>
      </c>
      <c r="H15" s="86">
        <v>619895</v>
      </c>
      <c r="I15" s="86">
        <v>533225</v>
      </c>
      <c r="J15" s="86">
        <v>446556</v>
      </c>
      <c r="K15" s="86">
        <v>359886</v>
      </c>
      <c r="L15" s="86">
        <v>273218</v>
      </c>
      <c r="M15" s="86">
        <v>186548</v>
      </c>
      <c r="N15" s="86" t="s">
        <v>55</v>
      </c>
      <c r="O15" s="86" t="s">
        <v>55</v>
      </c>
      <c r="P15" s="86"/>
      <c r="Q15" s="86" t="s">
        <v>55</v>
      </c>
      <c r="R15" s="86" t="s">
        <v>55</v>
      </c>
      <c r="S15" s="86" t="s">
        <v>55</v>
      </c>
      <c r="T15" s="73"/>
      <c r="X15" s="78"/>
    </row>
    <row r="16" spans="1:24" s="74" customFormat="1" ht="24.75" customHeight="1">
      <c r="A16" s="70"/>
      <c r="B16" s="465" t="s">
        <v>309</v>
      </c>
      <c r="C16" s="465"/>
      <c r="D16" s="465"/>
      <c r="E16" s="465"/>
      <c r="F16" s="71">
        <v>3734787</v>
      </c>
      <c r="G16" s="71">
        <v>3796384</v>
      </c>
      <c r="H16" s="71">
        <v>3857980</v>
      </c>
      <c r="I16" s="71">
        <v>4123898</v>
      </c>
      <c r="J16" s="71">
        <v>4202736</v>
      </c>
      <c r="K16" s="88">
        <v>4281082</v>
      </c>
      <c r="L16" s="88">
        <v>4357897</v>
      </c>
      <c r="M16" s="88">
        <v>4291585</v>
      </c>
      <c r="N16" s="88">
        <v>4499349</v>
      </c>
      <c r="O16" s="88">
        <v>4565344</v>
      </c>
      <c r="P16" s="71"/>
      <c r="Q16" s="88">
        <v>32740434</v>
      </c>
      <c r="R16" s="88">
        <v>4627272</v>
      </c>
      <c r="S16" s="72">
        <f t="shared" si="0"/>
        <v>14.133202999080584</v>
      </c>
      <c r="T16" s="73"/>
      <c r="X16" s="78"/>
    </row>
    <row r="17" spans="1:20" s="74" customFormat="1" ht="24.75" customHeight="1">
      <c r="A17" s="75"/>
      <c r="B17" s="75" t="s">
        <v>595</v>
      </c>
      <c r="C17" s="75"/>
      <c r="D17" s="75"/>
      <c r="E17" s="75"/>
      <c r="F17" s="76">
        <v>9954141</v>
      </c>
      <c r="G17" s="76">
        <v>10088202</v>
      </c>
      <c r="H17" s="76">
        <v>10222262</v>
      </c>
      <c r="I17" s="76">
        <v>10337751</v>
      </c>
      <c r="J17" s="76">
        <v>10453239</v>
      </c>
      <c r="K17" s="76">
        <v>10568728</v>
      </c>
      <c r="L17" s="76">
        <v>10684217</v>
      </c>
      <c r="M17" s="76">
        <v>10799705</v>
      </c>
      <c r="N17" s="76">
        <v>11276285</v>
      </c>
      <c r="O17" s="76">
        <v>11461971</v>
      </c>
      <c r="P17" s="76"/>
      <c r="Q17" s="76">
        <v>73964045</v>
      </c>
      <c r="R17" s="76">
        <v>11645307</v>
      </c>
      <c r="S17" s="77">
        <f t="shared" si="0"/>
        <v>15.744551288399656</v>
      </c>
      <c r="T17" s="73"/>
    </row>
    <row r="18" spans="1:24" s="74" customFormat="1" ht="24.75" customHeight="1">
      <c r="A18" s="70"/>
      <c r="B18" s="70" t="s">
        <v>525</v>
      </c>
      <c r="C18" s="70"/>
      <c r="D18" s="70"/>
      <c r="E18" s="70"/>
      <c r="F18" s="71">
        <v>1887751</v>
      </c>
      <c r="G18" s="71">
        <v>1932851</v>
      </c>
      <c r="H18" s="71">
        <v>1977952</v>
      </c>
      <c r="I18" s="71">
        <v>2062889</v>
      </c>
      <c r="J18" s="71">
        <v>2147827</v>
      </c>
      <c r="K18" s="71">
        <v>2232765</v>
      </c>
      <c r="L18" s="71">
        <v>2317702</v>
      </c>
      <c r="M18" s="71">
        <v>2402640</v>
      </c>
      <c r="N18" s="71">
        <v>2508666</v>
      </c>
      <c r="O18" s="71">
        <v>2549976</v>
      </c>
      <c r="P18" s="71"/>
      <c r="Q18" s="71">
        <v>16976347</v>
      </c>
      <c r="R18" s="71">
        <v>2590815</v>
      </c>
      <c r="S18" s="72">
        <f t="shared" si="0"/>
        <v>15.261322120713015</v>
      </c>
      <c r="T18" s="73"/>
      <c r="X18" s="78"/>
    </row>
    <row r="19" spans="1:24" s="74" customFormat="1" ht="24.75" customHeight="1">
      <c r="A19" s="75"/>
      <c r="B19" s="75" t="s">
        <v>526</v>
      </c>
      <c r="C19" s="75"/>
      <c r="D19" s="75"/>
      <c r="E19" s="75"/>
      <c r="F19" s="76">
        <v>1801279</v>
      </c>
      <c r="G19" s="76">
        <v>1804280</v>
      </c>
      <c r="H19" s="76">
        <v>1807281</v>
      </c>
      <c r="I19" s="76">
        <v>1840528</v>
      </c>
      <c r="J19" s="76">
        <v>1873776</v>
      </c>
      <c r="K19" s="76">
        <v>1907022</v>
      </c>
      <c r="L19" s="76">
        <v>1940270</v>
      </c>
      <c r="M19" s="76">
        <v>1973517</v>
      </c>
      <c r="N19" s="76">
        <v>2060607</v>
      </c>
      <c r="O19" s="76">
        <v>2094538</v>
      </c>
      <c r="P19" s="76"/>
      <c r="Q19" s="76">
        <v>27454662</v>
      </c>
      <c r="R19" s="76">
        <v>2128088</v>
      </c>
      <c r="S19" s="77">
        <f t="shared" si="0"/>
        <v>7.751281002840246</v>
      </c>
      <c r="T19" s="73"/>
      <c r="X19" s="78"/>
    </row>
    <row r="20" spans="1:20" s="91" customFormat="1" ht="24.75" customHeight="1">
      <c r="A20" s="70"/>
      <c r="B20" s="70" t="s">
        <v>494</v>
      </c>
      <c r="C20" s="70"/>
      <c r="D20" s="70"/>
      <c r="E20" s="70"/>
      <c r="F20" s="71">
        <v>10128040</v>
      </c>
      <c r="G20" s="71">
        <v>10291190</v>
      </c>
      <c r="H20" s="71">
        <v>10454340</v>
      </c>
      <c r="I20" s="71">
        <v>10595089</v>
      </c>
      <c r="J20" s="71">
        <v>10735838</v>
      </c>
      <c r="K20" s="71">
        <v>10876587</v>
      </c>
      <c r="L20" s="71">
        <v>11017336</v>
      </c>
      <c r="M20" s="71">
        <v>11168301</v>
      </c>
      <c r="N20" s="71">
        <v>11661147</v>
      </c>
      <c r="O20" s="71">
        <v>11853170</v>
      </c>
      <c r="P20" s="71"/>
      <c r="Q20" s="71" t="s">
        <v>55</v>
      </c>
      <c r="R20" s="71">
        <v>12042837</v>
      </c>
      <c r="S20" s="72" t="s">
        <v>55</v>
      </c>
      <c r="T20" s="90"/>
    </row>
    <row r="21" spans="1:24" s="74" customFormat="1" ht="24.75" customHeight="1">
      <c r="A21" s="75"/>
      <c r="B21" s="466" t="s">
        <v>333</v>
      </c>
      <c r="C21" s="466"/>
      <c r="D21" s="466"/>
      <c r="E21" s="466"/>
      <c r="F21" s="76">
        <v>1560551</v>
      </c>
      <c r="G21" s="76">
        <v>1596802</v>
      </c>
      <c r="H21" s="76">
        <v>1633052</v>
      </c>
      <c r="I21" s="76">
        <v>1675665</v>
      </c>
      <c r="J21" s="76">
        <v>1718278</v>
      </c>
      <c r="K21" s="76">
        <v>1760890</v>
      </c>
      <c r="L21" s="76">
        <v>1803503</v>
      </c>
      <c r="M21" s="76">
        <v>1936126</v>
      </c>
      <c r="N21" s="76">
        <v>2021565</v>
      </c>
      <c r="O21" s="76">
        <v>2054854</v>
      </c>
      <c r="P21" s="76"/>
      <c r="Q21" s="76" t="s">
        <v>55</v>
      </c>
      <c r="R21" s="76">
        <v>2087734</v>
      </c>
      <c r="S21" s="77" t="s">
        <v>55</v>
      </c>
      <c r="T21" s="73"/>
      <c r="X21" s="78"/>
    </row>
    <row r="22" spans="1:24" s="91" customFormat="1" ht="24.75" customHeight="1">
      <c r="A22" s="70"/>
      <c r="B22" s="70" t="s">
        <v>332</v>
      </c>
      <c r="C22" s="70"/>
      <c r="D22" s="70"/>
      <c r="E22" s="85"/>
      <c r="F22" s="71">
        <v>1954580</v>
      </c>
      <c r="G22" s="71">
        <v>1937341</v>
      </c>
      <c r="H22" s="71">
        <v>1920103</v>
      </c>
      <c r="I22" s="71">
        <v>1970414</v>
      </c>
      <c r="J22" s="71">
        <v>2020726</v>
      </c>
      <c r="K22" s="71">
        <v>2071038</v>
      </c>
      <c r="L22" s="71">
        <v>2121350</v>
      </c>
      <c r="M22" s="71">
        <v>2071435</v>
      </c>
      <c r="N22" s="71">
        <v>2162846</v>
      </c>
      <c r="O22" s="71">
        <v>2198461</v>
      </c>
      <c r="P22" s="71"/>
      <c r="Q22" s="71" t="s">
        <v>55</v>
      </c>
      <c r="R22" s="71">
        <v>2233639</v>
      </c>
      <c r="S22" s="72" t="s">
        <v>55</v>
      </c>
      <c r="T22" s="90"/>
      <c r="X22" s="92"/>
    </row>
    <row r="23" spans="1:20" s="74" customFormat="1" ht="24.75" customHeight="1">
      <c r="A23" s="84"/>
      <c r="B23" s="84" t="s">
        <v>310</v>
      </c>
      <c r="C23" s="84"/>
      <c r="D23" s="84"/>
      <c r="E23" s="84"/>
      <c r="F23" s="76">
        <v>7671328</v>
      </c>
      <c r="G23" s="76">
        <v>7773722</v>
      </c>
      <c r="H23" s="76">
        <v>7876117</v>
      </c>
      <c r="I23" s="76">
        <v>8169282</v>
      </c>
      <c r="J23" s="76">
        <v>8462447</v>
      </c>
      <c r="K23" s="76">
        <v>8755612</v>
      </c>
      <c r="L23" s="76">
        <v>9048777</v>
      </c>
      <c r="M23" s="76">
        <v>9341942</v>
      </c>
      <c r="N23" s="76">
        <v>9754193</v>
      </c>
      <c r="O23" s="76">
        <v>9914814</v>
      </c>
      <c r="P23" s="76"/>
      <c r="Q23" s="76">
        <v>94768034</v>
      </c>
      <c r="R23" s="76">
        <v>10073668</v>
      </c>
      <c r="S23" s="77">
        <f>(R23/Q23)*100</f>
        <v>10.629816378801316</v>
      </c>
      <c r="T23" s="73"/>
    </row>
    <row r="24" spans="1:24" s="91" customFormat="1" ht="24.75" customHeight="1">
      <c r="A24" s="70"/>
      <c r="B24" s="70" t="s">
        <v>311</v>
      </c>
      <c r="C24" s="70"/>
      <c r="D24" s="70"/>
      <c r="E24" s="70"/>
      <c r="F24" s="71">
        <v>5297377</v>
      </c>
      <c r="G24" s="71">
        <v>5368148</v>
      </c>
      <c r="H24" s="71">
        <v>5438919</v>
      </c>
      <c r="I24" s="71">
        <v>5474580</v>
      </c>
      <c r="J24" s="71">
        <v>5510242</v>
      </c>
      <c r="K24" s="71">
        <v>5545904</v>
      </c>
      <c r="L24" s="71">
        <v>5581566</v>
      </c>
      <c r="M24" s="71">
        <v>5617227</v>
      </c>
      <c r="N24" s="71">
        <v>5865110</v>
      </c>
      <c r="O24" s="71">
        <v>5961690</v>
      </c>
      <c r="P24" s="71"/>
      <c r="Q24" s="71">
        <v>21825500</v>
      </c>
      <c r="R24" s="71">
        <v>6056874</v>
      </c>
      <c r="S24" s="72">
        <f>(R24/Q24)*100</f>
        <v>27.75136422991455</v>
      </c>
      <c r="T24" s="90"/>
      <c r="X24" s="92"/>
    </row>
    <row r="25" spans="1:24" s="74" customFormat="1" ht="24.75" customHeight="1">
      <c r="A25" s="75"/>
      <c r="B25" s="75" t="s">
        <v>308</v>
      </c>
      <c r="C25" s="75"/>
      <c r="D25" s="75"/>
      <c r="E25" s="75"/>
      <c r="F25" s="76">
        <v>674466</v>
      </c>
      <c r="G25" s="76">
        <v>683463</v>
      </c>
      <c r="H25" s="76">
        <v>692459</v>
      </c>
      <c r="I25" s="76">
        <v>597306</v>
      </c>
      <c r="J25" s="76">
        <v>502153</v>
      </c>
      <c r="K25" s="76">
        <v>406999</v>
      </c>
      <c r="L25" s="76">
        <v>311846</v>
      </c>
      <c r="M25" s="76">
        <v>216693</v>
      </c>
      <c r="N25" s="76">
        <v>226255</v>
      </c>
      <c r="O25" s="76">
        <v>229981</v>
      </c>
      <c r="P25" s="76"/>
      <c r="Q25" s="76">
        <v>1801520</v>
      </c>
      <c r="R25" s="76">
        <v>233668</v>
      </c>
      <c r="S25" s="77">
        <f>(R25/Q25)*100</f>
        <v>12.970602602246991</v>
      </c>
      <c r="T25" s="73"/>
      <c r="X25" s="78"/>
    </row>
    <row r="26" spans="2:24" s="74" customFormat="1" ht="24.75" customHeight="1">
      <c r="B26" s="84" t="s">
        <v>312</v>
      </c>
      <c r="C26" s="84"/>
      <c r="D26" s="84"/>
      <c r="E26" s="75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5"/>
      <c r="T26" s="73"/>
      <c r="X26" s="78"/>
    </row>
    <row r="27" spans="1:24" s="74" customFormat="1" ht="24.75" customHeight="1">
      <c r="A27" s="91"/>
      <c r="B27" s="85" t="s">
        <v>3</v>
      </c>
      <c r="C27" s="85"/>
      <c r="D27" s="85"/>
      <c r="E27" s="70"/>
      <c r="F27" s="96">
        <v>73.98</v>
      </c>
      <c r="G27" s="96">
        <v>74.11</v>
      </c>
      <c r="H27" s="96">
        <v>74.22</v>
      </c>
      <c r="I27" s="96">
        <v>74.32</v>
      </c>
      <c r="J27" s="96">
        <v>74.42</v>
      </c>
      <c r="K27" s="96">
        <v>74.44</v>
      </c>
      <c r="L27" s="96">
        <v>74.45</v>
      </c>
      <c r="M27" s="96">
        <v>74.45</v>
      </c>
      <c r="N27" s="96">
        <v>74.58</v>
      </c>
      <c r="O27" s="96">
        <v>74.71</v>
      </c>
      <c r="P27" s="96"/>
      <c r="Q27" s="96">
        <v>74.51</v>
      </c>
      <c r="R27" s="96">
        <v>74.89</v>
      </c>
      <c r="S27" s="72" t="s">
        <v>55</v>
      </c>
      <c r="T27" s="73"/>
      <c r="X27" s="78"/>
    </row>
    <row r="28" spans="1:24" s="74" customFormat="1" ht="24.75" customHeight="1">
      <c r="A28" s="84"/>
      <c r="C28" s="75" t="s">
        <v>304</v>
      </c>
      <c r="D28" s="75"/>
      <c r="E28" s="84"/>
      <c r="F28" s="93">
        <v>71.5</v>
      </c>
      <c r="G28" s="93">
        <v>71.64</v>
      </c>
      <c r="H28" s="93">
        <v>71.76</v>
      </c>
      <c r="I28" s="93">
        <v>71.88</v>
      </c>
      <c r="J28" s="93">
        <v>71.99</v>
      </c>
      <c r="K28" s="93">
        <v>71.97</v>
      </c>
      <c r="L28" s="93">
        <v>71.94</v>
      </c>
      <c r="M28" s="93">
        <v>71.86</v>
      </c>
      <c r="N28" s="93">
        <v>72</v>
      </c>
      <c r="O28" s="93">
        <v>72.14</v>
      </c>
      <c r="P28" s="93"/>
      <c r="Q28" s="93">
        <v>71.74</v>
      </c>
      <c r="R28" s="93">
        <v>72.37</v>
      </c>
      <c r="S28" s="77" t="s">
        <v>55</v>
      </c>
      <c r="T28" s="73"/>
      <c r="X28" s="78"/>
    </row>
    <row r="29" spans="1:24" s="74" customFormat="1" ht="24.75" customHeight="1">
      <c r="A29" s="70"/>
      <c r="B29" s="91"/>
      <c r="C29" s="70" t="s">
        <v>149</v>
      </c>
      <c r="D29" s="70"/>
      <c r="E29" s="85"/>
      <c r="F29" s="96">
        <v>76.6</v>
      </c>
      <c r="G29" s="96">
        <v>76.7</v>
      </c>
      <c r="H29" s="96">
        <v>76.79</v>
      </c>
      <c r="I29" s="96">
        <v>76.88</v>
      </c>
      <c r="J29" s="96">
        <v>76.96</v>
      </c>
      <c r="K29" s="96">
        <v>77.03</v>
      </c>
      <c r="L29" s="96">
        <v>77.09</v>
      </c>
      <c r="M29" s="96">
        <v>77.17</v>
      </c>
      <c r="N29" s="96">
        <v>77.29</v>
      </c>
      <c r="O29" s="96">
        <v>77.41</v>
      </c>
      <c r="P29" s="96"/>
      <c r="Q29" s="96">
        <v>77.41</v>
      </c>
      <c r="R29" s="96">
        <v>77.53</v>
      </c>
      <c r="S29" s="72" t="s">
        <v>55</v>
      </c>
      <c r="T29" s="81"/>
      <c r="X29" s="78"/>
    </row>
    <row r="30" spans="1:24" s="74" customFormat="1" ht="24.75" customHeight="1">
      <c r="A30" s="79" t="s">
        <v>455</v>
      </c>
      <c r="B30" s="75"/>
      <c r="C30" s="75"/>
      <c r="D30" s="75"/>
      <c r="E30" s="75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89"/>
      <c r="T30" s="73"/>
      <c r="X30" s="78"/>
    </row>
    <row r="31" spans="1:24" s="74" customFormat="1" ht="24.75" customHeight="1">
      <c r="A31" s="75"/>
      <c r="B31" s="75" t="s">
        <v>313</v>
      </c>
      <c r="C31" s="75"/>
      <c r="D31" s="75"/>
      <c r="E31" s="75"/>
      <c r="F31" s="76">
        <v>327700</v>
      </c>
      <c r="G31" s="76">
        <v>337546</v>
      </c>
      <c r="H31" s="76">
        <v>330115</v>
      </c>
      <c r="I31" s="76">
        <v>325972</v>
      </c>
      <c r="J31" s="76">
        <v>348015</v>
      </c>
      <c r="K31" s="76">
        <v>339393</v>
      </c>
      <c r="L31" s="76">
        <v>328095</v>
      </c>
      <c r="M31" s="76" t="s">
        <v>400</v>
      </c>
      <c r="N31" s="76">
        <v>325331</v>
      </c>
      <c r="O31" s="76">
        <v>323681</v>
      </c>
      <c r="P31" s="76"/>
      <c r="Q31" s="76">
        <v>2498880</v>
      </c>
      <c r="R31" s="76">
        <v>316038</v>
      </c>
      <c r="S31" s="77">
        <f aca="true" t="shared" si="1" ref="S31:S36">(R31/Q31)*100</f>
        <v>12.647185939300806</v>
      </c>
      <c r="T31" s="73"/>
      <c r="X31" s="78"/>
    </row>
    <row r="32" spans="1:24" s="74" customFormat="1" ht="24.75" customHeight="1">
      <c r="A32" s="70"/>
      <c r="B32" s="70" t="s">
        <v>314</v>
      </c>
      <c r="C32" s="70"/>
      <c r="D32" s="70"/>
      <c r="E32" s="70"/>
      <c r="F32" s="71">
        <v>295061</v>
      </c>
      <c r="G32" s="71">
        <v>300198</v>
      </c>
      <c r="H32" s="71">
        <v>295932</v>
      </c>
      <c r="I32" s="71">
        <v>292183</v>
      </c>
      <c r="J32" s="71">
        <v>309636</v>
      </c>
      <c r="K32" s="71">
        <v>303605</v>
      </c>
      <c r="L32" s="71">
        <v>296876</v>
      </c>
      <c r="M32" s="71">
        <v>292916</v>
      </c>
      <c r="N32" s="71">
        <v>292820</v>
      </c>
      <c r="O32" s="71">
        <v>294726</v>
      </c>
      <c r="P32" s="71"/>
      <c r="Q32" s="71">
        <v>2106345</v>
      </c>
      <c r="R32" s="71">
        <v>289234</v>
      </c>
      <c r="S32" s="72">
        <f t="shared" si="1"/>
        <v>13.731558695275464</v>
      </c>
      <c r="T32" s="73"/>
      <c r="X32" s="78"/>
    </row>
    <row r="33" spans="1:24" s="74" customFormat="1" ht="24.75" customHeight="1">
      <c r="A33" s="75"/>
      <c r="B33" s="75" t="s">
        <v>315</v>
      </c>
      <c r="C33" s="75"/>
      <c r="D33" s="75"/>
      <c r="E33" s="75"/>
      <c r="F33" s="76">
        <v>45123</v>
      </c>
      <c r="G33" s="76">
        <v>45716</v>
      </c>
      <c r="H33" s="76">
        <v>47493</v>
      </c>
      <c r="I33" s="76">
        <v>48191</v>
      </c>
      <c r="J33" s="76">
        <v>50572</v>
      </c>
      <c r="K33" s="76">
        <v>52602</v>
      </c>
      <c r="L33" s="76">
        <v>54838</v>
      </c>
      <c r="M33" s="76">
        <v>57220</v>
      </c>
      <c r="N33" s="76">
        <v>58882</v>
      </c>
      <c r="O33" s="76">
        <v>61865</v>
      </c>
      <c r="P33" s="76"/>
      <c r="Q33" s="76">
        <v>602354</v>
      </c>
      <c r="R33" s="76">
        <v>64661</v>
      </c>
      <c r="S33" s="77">
        <f t="shared" si="1"/>
        <v>10.734717458504466</v>
      </c>
      <c r="T33" s="73"/>
      <c r="X33" s="78"/>
    </row>
    <row r="34" spans="1:24" s="74" customFormat="1" ht="24.75" customHeight="1">
      <c r="A34" s="70"/>
      <c r="B34" s="70" t="s">
        <v>316</v>
      </c>
      <c r="C34" s="70"/>
      <c r="D34" s="70"/>
      <c r="E34" s="70"/>
      <c r="F34" s="71">
        <v>3976</v>
      </c>
      <c r="G34" s="71">
        <v>4098</v>
      </c>
      <c r="H34" s="71">
        <v>3777</v>
      </c>
      <c r="I34" s="71">
        <v>3738</v>
      </c>
      <c r="J34" s="71">
        <v>3669</v>
      </c>
      <c r="K34" s="71">
        <v>3595</v>
      </c>
      <c r="L34" s="71">
        <v>3343</v>
      </c>
      <c r="M34" s="71">
        <v>3256</v>
      </c>
      <c r="N34" s="71">
        <v>3309</v>
      </c>
      <c r="O34" s="71">
        <v>3301</v>
      </c>
      <c r="P34" s="71"/>
      <c r="Q34" s="71">
        <v>28956</v>
      </c>
      <c r="R34" s="71">
        <v>3211</v>
      </c>
      <c r="S34" s="72">
        <f t="shared" si="1"/>
        <v>11.089238845144358</v>
      </c>
      <c r="T34" s="73"/>
      <c r="X34" s="78"/>
    </row>
    <row r="35" spans="1:24" s="74" customFormat="1" ht="24.75" customHeight="1">
      <c r="A35" s="75"/>
      <c r="B35" s="75" t="s">
        <v>317</v>
      </c>
      <c r="C35" s="75"/>
      <c r="D35" s="75"/>
      <c r="E35" s="75"/>
      <c r="F35" s="76">
        <v>70496</v>
      </c>
      <c r="G35" s="76">
        <v>72247</v>
      </c>
      <c r="H35" s="76">
        <v>68747</v>
      </c>
      <c r="I35" s="76">
        <v>66506</v>
      </c>
      <c r="J35" s="76">
        <v>65845</v>
      </c>
      <c r="K35" s="76">
        <v>68123</v>
      </c>
      <c r="L35" s="76">
        <v>62819</v>
      </c>
      <c r="M35" s="76">
        <v>68726</v>
      </c>
      <c r="N35" s="76">
        <v>64778</v>
      </c>
      <c r="O35" s="76">
        <v>72426</v>
      </c>
      <c r="P35" s="76"/>
      <c r="Q35" s="76">
        <v>585434</v>
      </c>
      <c r="R35" s="76">
        <v>70302</v>
      </c>
      <c r="S35" s="77">
        <f t="shared" si="1"/>
        <v>12.008527007314232</v>
      </c>
      <c r="T35" s="73"/>
      <c r="X35" s="78"/>
    </row>
    <row r="36" spans="1:24" s="74" customFormat="1" ht="24.75" customHeight="1">
      <c r="A36" s="70"/>
      <c r="B36" s="70" t="s">
        <v>318</v>
      </c>
      <c r="C36" s="70"/>
      <c r="D36" s="70"/>
      <c r="E36" s="70"/>
      <c r="F36" s="71">
        <v>7081</v>
      </c>
      <c r="G36" s="71">
        <v>7381</v>
      </c>
      <c r="H36" s="71">
        <v>7399</v>
      </c>
      <c r="I36" s="71">
        <v>7963</v>
      </c>
      <c r="J36" s="71">
        <v>8517</v>
      </c>
      <c r="K36" s="71">
        <v>8764</v>
      </c>
      <c r="L36" s="71">
        <v>9228</v>
      </c>
      <c r="M36" s="71">
        <v>10221</v>
      </c>
      <c r="N36" s="71">
        <v>11404</v>
      </c>
      <c r="O36" s="71">
        <v>13771</v>
      </c>
      <c r="P36" s="71"/>
      <c r="Q36" s="71">
        <v>99509</v>
      </c>
      <c r="R36" s="71">
        <v>16650</v>
      </c>
      <c r="S36" s="72">
        <f t="shared" si="1"/>
        <v>16.732154880463074</v>
      </c>
      <c r="T36" s="73"/>
      <c r="X36" s="78"/>
    </row>
    <row r="37" spans="1:24" s="74" customFormat="1" ht="24.75" customHeight="1">
      <c r="A37" s="79" t="s">
        <v>456</v>
      </c>
      <c r="B37" s="75"/>
      <c r="C37" s="75"/>
      <c r="D37" s="75"/>
      <c r="E37" s="75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89"/>
      <c r="T37" s="73"/>
      <c r="X37" s="78"/>
    </row>
    <row r="38" spans="1:20" s="74" customFormat="1" ht="24.75" customHeight="1">
      <c r="A38" s="84"/>
      <c r="B38" s="84" t="s">
        <v>319</v>
      </c>
      <c r="C38" s="84"/>
      <c r="D38" s="84"/>
      <c r="E38" s="84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7"/>
      <c r="T38" s="73"/>
    </row>
    <row r="39" spans="1:24" s="82" customFormat="1" ht="24.75" customHeight="1">
      <c r="A39" s="84"/>
      <c r="B39" s="75"/>
      <c r="C39" s="75" t="s">
        <v>320</v>
      </c>
      <c r="D39" s="75"/>
      <c r="E39" s="79"/>
      <c r="F39" s="76">
        <v>5887927</v>
      </c>
      <c r="G39" s="76">
        <v>5982546</v>
      </c>
      <c r="H39" s="76">
        <v>6074891</v>
      </c>
      <c r="I39" s="76">
        <v>6166255</v>
      </c>
      <c r="J39" s="76">
        <v>6256252</v>
      </c>
      <c r="K39" s="76">
        <v>6344298</v>
      </c>
      <c r="L39" s="76">
        <v>6755587</v>
      </c>
      <c r="M39" s="76">
        <v>7286720</v>
      </c>
      <c r="N39" s="76">
        <v>8196130</v>
      </c>
      <c r="O39" s="76">
        <v>8308684</v>
      </c>
      <c r="P39" s="76"/>
      <c r="Q39" s="76">
        <v>76425450</v>
      </c>
      <c r="R39" s="76">
        <v>8440009</v>
      </c>
      <c r="S39" s="77">
        <f>(R39/75558978)*100</f>
        <v>11.17009417464593</v>
      </c>
      <c r="T39" s="81"/>
      <c r="X39" s="83"/>
    </row>
    <row r="40" spans="1:24" s="91" customFormat="1" ht="24.75" customHeight="1">
      <c r="A40" s="85"/>
      <c r="B40" s="70"/>
      <c r="C40" s="70" t="s">
        <v>321</v>
      </c>
      <c r="D40" s="70"/>
      <c r="E40" s="80"/>
      <c r="F40" s="71">
        <v>7697508</v>
      </c>
      <c r="G40" s="71">
        <v>7821206</v>
      </c>
      <c r="H40" s="71">
        <v>7941932</v>
      </c>
      <c r="I40" s="71">
        <v>8061375</v>
      </c>
      <c r="J40" s="71">
        <v>8179032</v>
      </c>
      <c r="K40" s="71">
        <v>7962617</v>
      </c>
      <c r="L40" s="71">
        <v>8081621</v>
      </c>
      <c r="M40" s="71">
        <v>7889142</v>
      </c>
      <c r="N40" s="71">
        <v>7649428</v>
      </c>
      <c r="O40" s="71">
        <v>7797801</v>
      </c>
      <c r="P40" s="71"/>
      <c r="Q40" s="71">
        <v>41969604</v>
      </c>
      <c r="R40" s="71">
        <v>7924201</v>
      </c>
      <c r="S40" s="72">
        <f>(R40/41494772)*100</f>
        <v>19.096865985912633</v>
      </c>
      <c r="T40" s="90"/>
      <c r="X40" s="92"/>
    </row>
    <row r="41" spans="1:24" s="82" customFormat="1" ht="24.75" customHeight="1">
      <c r="A41" s="75"/>
      <c r="B41" s="75" t="s">
        <v>322</v>
      </c>
      <c r="C41" s="75"/>
      <c r="D41" s="75"/>
      <c r="E41" s="75"/>
      <c r="F41" s="76">
        <v>1517</v>
      </c>
      <c r="G41" s="76">
        <v>1602</v>
      </c>
      <c r="H41" s="76">
        <v>1609</v>
      </c>
      <c r="I41" s="76">
        <v>1627</v>
      </c>
      <c r="J41" s="76">
        <v>1585</v>
      </c>
      <c r="K41" s="76">
        <v>1693</v>
      </c>
      <c r="L41" s="76">
        <v>1753</v>
      </c>
      <c r="M41" s="76">
        <v>1786</v>
      </c>
      <c r="N41" s="76">
        <v>1809</v>
      </c>
      <c r="O41" s="76">
        <v>1809</v>
      </c>
      <c r="P41" s="76"/>
      <c r="Q41" s="76">
        <v>22335</v>
      </c>
      <c r="R41" s="76">
        <v>1815</v>
      </c>
      <c r="S41" s="77">
        <f>(R41/Q41)*100</f>
        <v>8.126259234385493</v>
      </c>
      <c r="T41" s="81"/>
      <c r="X41" s="83"/>
    </row>
    <row r="42" spans="1:24" s="91" customFormat="1" ht="24.75" customHeight="1">
      <c r="A42" s="70"/>
      <c r="B42" s="70" t="s">
        <v>323</v>
      </c>
      <c r="C42" s="70"/>
      <c r="D42" s="70"/>
      <c r="E42" s="70"/>
      <c r="F42" s="71">
        <v>12660</v>
      </c>
      <c r="G42" s="71">
        <v>12792</v>
      </c>
      <c r="H42" s="71">
        <v>13144</v>
      </c>
      <c r="I42" s="71">
        <v>13212</v>
      </c>
      <c r="J42" s="71">
        <v>14370</v>
      </c>
      <c r="K42" s="71">
        <v>14929</v>
      </c>
      <c r="L42" s="71">
        <v>16520</v>
      </c>
      <c r="M42" s="71">
        <v>18037</v>
      </c>
      <c r="N42" s="71">
        <v>17906</v>
      </c>
      <c r="O42" s="71">
        <v>21098</v>
      </c>
      <c r="P42" s="71"/>
      <c r="Q42" s="71">
        <v>194717</v>
      </c>
      <c r="R42" s="71">
        <v>19871</v>
      </c>
      <c r="S42" s="72">
        <f>(R42/Q42)*100</f>
        <v>10.205066840594299</v>
      </c>
      <c r="T42" s="90"/>
      <c r="X42" s="92"/>
    </row>
    <row r="43" spans="1:24" s="82" customFormat="1" ht="24.75" customHeight="1">
      <c r="A43" s="75"/>
      <c r="B43" s="75" t="s">
        <v>324</v>
      </c>
      <c r="C43" s="75"/>
      <c r="D43" s="75"/>
      <c r="E43" s="75"/>
      <c r="F43" s="76">
        <v>15541</v>
      </c>
      <c r="G43" s="76">
        <v>15013</v>
      </c>
      <c r="H43" s="76">
        <v>15839</v>
      </c>
      <c r="I43" s="76">
        <v>16504</v>
      </c>
      <c r="J43" s="76">
        <v>17082</v>
      </c>
      <c r="K43" s="76">
        <v>19343</v>
      </c>
      <c r="L43" s="76">
        <v>20644</v>
      </c>
      <c r="M43" s="76">
        <v>22547</v>
      </c>
      <c r="N43" s="76">
        <v>24222</v>
      </c>
      <c r="O43" s="76">
        <v>25898</v>
      </c>
      <c r="P43" s="76"/>
      <c r="Q43" s="76">
        <v>270640</v>
      </c>
      <c r="R43" s="76">
        <v>24481</v>
      </c>
      <c r="S43" s="77">
        <f>(R43/Q43)*100</f>
        <v>9.045595625184747</v>
      </c>
      <c r="T43" s="81"/>
      <c r="X43" s="83"/>
    </row>
    <row r="44" spans="1:24" s="91" customFormat="1" ht="24.75" customHeight="1">
      <c r="A44" s="70"/>
      <c r="B44" s="70" t="s">
        <v>325</v>
      </c>
      <c r="C44" s="70"/>
      <c r="D44" s="70"/>
      <c r="E44" s="70"/>
      <c r="F44" s="71">
        <v>6462</v>
      </c>
      <c r="G44" s="71">
        <v>6393</v>
      </c>
      <c r="H44" s="71">
        <v>7999</v>
      </c>
      <c r="I44" s="71">
        <v>8602</v>
      </c>
      <c r="J44" s="71">
        <v>8010</v>
      </c>
      <c r="K44" s="71">
        <v>6909</v>
      </c>
      <c r="L44" s="71">
        <v>6997</v>
      </c>
      <c r="M44" s="71">
        <v>7526</v>
      </c>
      <c r="N44" s="71">
        <v>8745</v>
      </c>
      <c r="O44" s="71">
        <v>8762</v>
      </c>
      <c r="P44" s="71"/>
      <c r="Q44" s="334">
        <v>87509</v>
      </c>
      <c r="R44" s="71">
        <v>8327</v>
      </c>
      <c r="S44" s="72">
        <f>(R44/Q44)*100</f>
        <v>9.515592681895576</v>
      </c>
      <c r="T44" s="90"/>
      <c r="X44" s="92"/>
    </row>
    <row r="45" spans="1:24" s="82" customFormat="1" ht="24.75" customHeight="1">
      <c r="A45" s="84"/>
      <c r="B45" s="84" t="s">
        <v>326</v>
      </c>
      <c r="C45" s="84"/>
      <c r="D45" s="84"/>
      <c r="E45" s="84"/>
      <c r="F45" s="76">
        <v>5144</v>
      </c>
      <c r="G45" s="76">
        <v>5088</v>
      </c>
      <c r="H45" s="76">
        <v>5966</v>
      </c>
      <c r="I45" s="76">
        <v>5721</v>
      </c>
      <c r="J45" s="76">
        <v>5808</v>
      </c>
      <c r="K45" s="76">
        <v>10831</v>
      </c>
      <c r="L45" s="76">
        <v>6450</v>
      </c>
      <c r="M45" s="76">
        <v>6546</v>
      </c>
      <c r="N45" s="76">
        <v>7038</v>
      </c>
      <c r="O45" s="76">
        <v>6959</v>
      </c>
      <c r="P45" s="76"/>
      <c r="Q45" s="76">
        <v>71913</v>
      </c>
      <c r="R45" s="76">
        <v>6681</v>
      </c>
      <c r="S45" s="77">
        <f>(R45/Q45)*100</f>
        <v>9.290392557673856</v>
      </c>
      <c r="T45" s="81"/>
      <c r="X45" s="83"/>
    </row>
    <row r="46" spans="1:24" s="74" customFormat="1" ht="24.75" customHeight="1">
      <c r="A46" s="79" t="s">
        <v>327</v>
      </c>
      <c r="B46" s="84"/>
      <c r="C46" s="84"/>
      <c r="D46" s="84"/>
      <c r="E46" s="84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89"/>
      <c r="T46" s="73"/>
      <c r="X46" s="78"/>
    </row>
    <row r="47" spans="1:24" s="74" customFormat="1" ht="24.75" customHeight="1">
      <c r="A47" s="84"/>
      <c r="B47" s="84" t="s">
        <v>328</v>
      </c>
      <c r="C47" s="84"/>
      <c r="D47" s="84"/>
      <c r="E47" s="84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89"/>
      <c r="T47" s="73"/>
      <c r="X47" s="78"/>
    </row>
    <row r="48" spans="1:24" s="74" customFormat="1" ht="24.75" customHeight="1">
      <c r="A48" s="85"/>
      <c r="B48" s="85" t="s">
        <v>28</v>
      </c>
      <c r="C48" s="85"/>
      <c r="D48" s="85"/>
      <c r="E48" s="85"/>
      <c r="F48" s="71">
        <v>524070</v>
      </c>
      <c r="G48" s="71">
        <v>499510</v>
      </c>
      <c r="H48" s="71">
        <v>627222</v>
      </c>
      <c r="I48" s="71">
        <v>612191</v>
      </c>
      <c r="J48" s="71">
        <v>632049</v>
      </c>
      <c r="K48" s="71" t="s">
        <v>334</v>
      </c>
      <c r="L48" s="71">
        <v>656901</v>
      </c>
      <c r="M48" s="71">
        <v>658392.5999999997</v>
      </c>
      <c r="N48" s="71">
        <v>690328</v>
      </c>
      <c r="O48" s="71">
        <v>663676</v>
      </c>
      <c r="P48" s="71"/>
      <c r="Q48" s="71" t="s">
        <v>55</v>
      </c>
      <c r="R48" s="334">
        <v>704693</v>
      </c>
      <c r="S48" s="72" t="s">
        <v>55</v>
      </c>
      <c r="T48" s="73"/>
      <c r="X48" s="78"/>
    </row>
    <row r="49" spans="1:24" s="74" customFormat="1" ht="24.75" customHeight="1">
      <c r="A49" s="84"/>
      <c r="B49" s="84" t="s">
        <v>527</v>
      </c>
      <c r="C49" s="84"/>
      <c r="D49" s="84"/>
      <c r="E49" s="84"/>
      <c r="F49" s="98"/>
      <c r="G49" s="98"/>
      <c r="H49" s="98"/>
      <c r="I49" s="78"/>
      <c r="J49" s="78"/>
      <c r="K49" s="78"/>
      <c r="L49" s="78"/>
      <c r="M49" s="78"/>
      <c r="N49" s="78"/>
      <c r="O49" s="78"/>
      <c r="P49" s="98"/>
      <c r="Q49" s="78"/>
      <c r="R49" s="78"/>
      <c r="S49" s="78"/>
      <c r="T49" s="73"/>
      <c r="X49" s="78"/>
    </row>
    <row r="50" spans="1:24" s="82" customFormat="1" ht="24.75" customHeight="1">
      <c r="A50" s="84"/>
      <c r="B50" s="84" t="s">
        <v>388</v>
      </c>
      <c r="C50" s="84"/>
      <c r="D50" s="84"/>
      <c r="E50" s="84"/>
      <c r="F50" s="76">
        <v>542332</v>
      </c>
      <c r="G50" s="76">
        <v>1687575</v>
      </c>
      <c r="H50" s="76">
        <v>1697575</v>
      </c>
      <c r="I50" s="76">
        <v>979729</v>
      </c>
      <c r="J50" s="76">
        <v>1190014</v>
      </c>
      <c r="K50" s="76" t="s">
        <v>335</v>
      </c>
      <c r="L50" s="76">
        <v>1674410</v>
      </c>
      <c r="M50" s="76">
        <v>888240</v>
      </c>
      <c r="N50" s="76">
        <v>568000</v>
      </c>
      <c r="O50" s="76">
        <v>1136000</v>
      </c>
      <c r="P50" s="76"/>
      <c r="Q50" s="76" t="s">
        <v>55</v>
      </c>
      <c r="R50" s="76">
        <v>852000</v>
      </c>
      <c r="S50" s="77" t="s">
        <v>55</v>
      </c>
      <c r="T50" s="81"/>
      <c r="X50" s="83"/>
    </row>
    <row r="51" spans="1:24" s="74" customFormat="1" ht="24.75" customHeight="1">
      <c r="A51" s="84"/>
      <c r="B51" s="466" t="s">
        <v>541</v>
      </c>
      <c r="C51" s="466"/>
      <c r="D51" s="466"/>
      <c r="E51" s="466"/>
      <c r="T51" s="73"/>
      <c r="X51" s="78"/>
    </row>
    <row r="52" spans="1:24" s="74" customFormat="1" ht="24.75" customHeight="1">
      <c r="A52" s="85"/>
      <c r="B52" s="85" t="s">
        <v>56</v>
      </c>
      <c r="C52" s="85"/>
      <c r="D52" s="85"/>
      <c r="E52" s="85"/>
      <c r="F52" s="71">
        <v>803</v>
      </c>
      <c r="G52" s="71">
        <v>805</v>
      </c>
      <c r="H52" s="71">
        <v>904</v>
      </c>
      <c r="I52" s="71">
        <v>906</v>
      </c>
      <c r="J52" s="71">
        <v>922</v>
      </c>
      <c r="K52" s="71">
        <v>936</v>
      </c>
      <c r="L52" s="71">
        <v>938</v>
      </c>
      <c r="M52" s="71">
        <v>1003</v>
      </c>
      <c r="N52" s="71">
        <v>1100</v>
      </c>
      <c r="O52" s="71">
        <v>1185</v>
      </c>
      <c r="P52" s="71"/>
      <c r="Q52" s="71" t="s">
        <v>55</v>
      </c>
      <c r="R52" s="334">
        <v>1387</v>
      </c>
      <c r="S52" s="72" t="s">
        <v>55</v>
      </c>
      <c r="T52" s="81"/>
      <c r="X52" s="78"/>
    </row>
    <row r="53" spans="1:24" s="74" customFormat="1" ht="24.75" customHeight="1">
      <c r="A53" s="79" t="s">
        <v>270</v>
      </c>
      <c r="B53" s="84"/>
      <c r="C53" s="84"/>
      <c r="D53" s="84"/>
      <c r="E53" s="84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89"/>
      <c r="X53" s="78"/>
    </row>
    <row r="54" spans="1:22" s="91" customFormat="1" ht="24.75" customHeight="1">
      <c r="A54" s="85"/>
      <c r="B54" s="85" t="s">
        <v>329</v>
      </c>
      <c r="C54" s="80"/>
      <c r="D54" s="80"/>
      <c r="E54" s="80"/>
      <c r="F54" s="99">
        <v>792</v>
      </c>
      <c r="G54" s="99">
        <v>806</v>
      </c>
      <c r="H54" s="99">
        <v>836</v>
      </c>
      <c r="I54" s="99">
        <v>803</v>
      </c>
      <c r="J54" s="99">
        <v>783</v>
      </c>
      <c r="K54" s="99">
        <v>945</v>
      </c>
      <c r="L54" s="99">
        <v>886</v>
      </c>
      <c r="M54" s="99">
        <v>934</v>
      </c>
      <c r="N54" s="99">
        <v>961</v>
      </c>
      <c r="O54" s="99">
        <v>1021</v>
      </c>
      <c r="P54" s="99"/>
      <c r="Q54" s="99">
        <v>26245</v>
      </c>
      <c r="R54" s="99">
        <v>1123</v>
      </c>
      <c r="S54" s="72">
        <f>(R54/Q54)*100</f>
        <v>4.278910268622595</v>
      </c>
      <c r="T54" s="100">
        <f>R54/Q54*100</f>
        <v>4.278910268622595</v>
      </c>
      <c r="V54" s="101"/>
    </row>
    <row r="55" spans="1:22" s="82" customFormat="1" ht="24.75" customHeight="1">
      <c r="A55" s="84"/>
      <c r="B55" s="84" t="s">
        <v>330</v>
      </c>
      <c r="C55" s="84"/>
      <c r="D55" s="84"/>
      <c r="E55" s="84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89"/>
      <c r="T55" s="103"/>
      <c r="V55" s="104"/>
    </row>
    <row r="56" spans="1:22" s="82" customFormat="1" ht="24.75" customHeight="1">
      <c r="A56" s="84"/>
      <c r="B56" s="84"/>
      <c r="C56" s="84" t="s">
        <v>331</v>
      </c>
      <c r="D56" s="84"/>
      <c r="E56" s="84"/>
      <c r="F56" s="87">
        <v>970</v>
      </c>
      <c r="G56" s="87">
        <v>781</v>
      </c>
      <c r="H56" s="87">
        <v>910</v>
      </c>
      <c r="I56" s="87">
        <v>981</v>
      </c>
      <c r="J56" s="87">
        <v>1005</v>
      </c>
      <c r="K56" s="87">
        <v>1043</v>
      </c>
      <c r="L56" s="87">
        <v>1177</v>
      </c>
      <c r="M56" s="87">
        <v>1090</v>
      </c>
      <c r="N56" s="87">
        <v>1227</v>
      </c>
      <c r="O56" s="87">
        <v>1146</v>
      </c>
      <c r="P56" s="87"/>
      <c r="Q56" s="105">
        <v>11108</v>
      </c>
      <c r="R56" s="87">
        <v>1297</v>
      </c>
      <c r="S56" s="77">
        <f>(R56/Q56)*100</f>
        <v>11.676269355419517</v>
      </c>
      <c r="T56" s="103">
        <f>R56/Q56*100</f>
        <v>11.676269355419517</v>
      </c>
      <c r="V56" s="104"/>
    </row>
    <row r="57" spans="1:22" s="91" customFormat="1" ht="24.75" customHeight="1">
      <c r="A57" s="85"/>
      <c r="B57" s="85"/>
      <c r="C57" s="85" t="s">
        <v>402</v>
      </c>
      <c r="D57" s="85"/>
      <c r="E57" s="85"/>
      <c r="F57" s="99">
        <v>1436002</v>
      </c>
      <c r="G57" s="99">
        <v>1441619</v>
      </c>
      <c r="H57" s="99">
        <v>1476691</v>
      </c>
      <c r="I57" s="99">
        <v>2013749</v>
      </c>
      <c r="J57" s="99">
        <v>1961902</v>
      </c>
      <c r="K57" s="88">
        <v>1896393</v>
      </c>
      <c r="L57" s="88">
        <v>1940277</v>
      </c>
      <c r="M57" s="88">
        <v>1902555</v>
      </c>
      <c r="N57" s="88">
        <v>1845438</v>
      </c>
      <c r="O57" s="88">
        <v>1843984</v>
      </c>
      <c r="P57" s="99"/>
      <c r="Q57" s="88">
        <v>6501760</v>
      </c>
      <c r="R57" s="88">
        <v>1883569</v>
      </c>
      <c r="S57" s="72">
        <f>(R57/Q57)*100</f>
        <v>28.970140392755194</v>
      </c>
      <c r="T57" s="100">
        <f>R57/Q57*100</f>
        <v>28.970140392755194</v>
      </c>
      <c r="V57" s="101"/>
    </row>
    <row r="58" spans="6:24" s="74" customFormat="1" ht="24.75" customHeight="1">
      <c r="F58" s="78"/>
      <c r="G58" s="78"/>
      <c r="H58" s="98"/>
      <c r="I58" s="98"/>
      <c r="J58" s="98"/>
      <c r="K58" s="98"/>
      <c r="L58" s="98"/>
      <c r="M58" s="98"/>
      <c r="N58" s="98"/>
      <c r="O58" s="98"/>
      <c r="P58" s="98"/>
      <c r="Q58" s="83"/>
      <c r="R58" s="83"/>
      <c r="S58" s="82"/>
      <c r="T58" s="82"/>
      <c r="X58" s="78"/>
    </row>
    <row r="59" spans="1:24" s="74" customFormat="1" ht="24.75" customHeight="1">
      <c r="A59" s="106" t="s">
        <v>25</v>
      </c>
      <c r="F59" s="78"/>
      <c r="G59" s="78"/>
      <c r="H59" s="98"/>
      <c r="I59" s="98"/>
      <c r="J59" s="98"/>
      <c r="K59" s="98"/>
      <c r="L59" s="98"/>
      <c r="M59" s="98"/>
      <c r="N59" s="98"/>
      <c r="O59" s="98"/>
      <c r="P59" s="98"/>
      <c r="Q59" s="78"/>
      <c r="R59" s="78"/>
      <c r="X59" s="78"/>
    </row>
    <row r="60" spans="1:19" ht="18">
      <c r="A60" s="464"/>
      <c r="B60" s="464"/>
      <c r="C60" s="464"/>
      <c r="D60" s="464"/>
      <c r="E60" s="464"/>
      <c r="F60" s="464"/>
      <c r="G60" s="464"/>
      <c r="H60" s="464"/>
      <c r="I60" s="464"/>
      <c r="J60" s="464"/>
      <c r="K60" s="464"/>
      <c r="L60" s="464"/>
      <c r="M60" s="464"/>
      <c r="N60" s="464"/>
      <c r="O60" s="464"/>
      <c r="P60" s="464"/>
      <c r="Q60" s="464"/>
      <c r="R60" s="464"/>
      <c r="S60" s="464"/>
    </row>
  </sheetData>
  <sheetProtection/>
  <mergeCells count="17">
    <mergeCell ref="O4:O5"/>
    <mergeCell ref="Q4:S4"/>
    <mergeCell ref="M4:M5"/>
    <mergeCell ref="A60:S60"/>
    <mergeCell ref="B16:E16"/>
    <mergeCell ref="B21:E21"/>
    <mergeCell ref="B51:E51"/>
    <mergeCell ref="R1:S1"/>
    <mergeCell ref="A4:E5"/>
    <mergeCell ref="F4:F5"/>
    <mergeCell ref="G4:G5"/>
    <mergeCell ref="H4:H5"/>
    <mergeCell ref="I4:I5"/>
    <mergeCell ref="J4:J5"/>
    <mergeCell ref="K4:K5"/>
    <mergeCell ref="L4:L5"/>
    <mergeCell ref="N4:N5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scale="43" r:id="rId1"/>
  <headerFooter alignWithMargins="0">
    <oddHeader>&amp;C
</oddHeader>
  </headerFooter>
  <ignoredErrors>
    <ignoredError sqref="S42 S31:S36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theme="9" tint="-0.24997000396251678"/>
  </sheetPr>
  <dimension ref="A1:R73"/>
  <sheetViews>
    <sheetView showGridLines="0" view="pageBreakPreview" zoomScale="80" zoomScaleNormal="60" zoomScaleSheetLayoutView="80" zoomScalePageLayoutView="0" workbookViewId="0" topLeftCell="A1">
      <pane xSplit="5" ySplit="5" topLeftCell="F6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9.77734375" defaultRowHeight="15.75"/>
  <cols>
    <col min="1" max="4" width="2.77734375" style="10" customWidth="1"/>
    <col min="5" max="5" width="25.6640625" style="10" customWidth="1"/>
    <col min="6" max="15" width="11.77734375" style="10" customWidth="1"/>
    <col min="16" max="16" width="13.4453125" style="10" customWidth="1"/>
    <col min="17" max="19" width="9.77734375" style="10" customWidth="1"/>
    <col min="20" max="20" width="9.77734375" style="15" customWidth="1"/>
    <col min="21" max="23" width="9.77734375" style="10" customWidth="1"/>
    <col min="24" max="25" width="5.77734375" style="10" customWidth="1"/>
    <col min="26" max="28" width="9.77734375" style="10" customWidth="1"/>
    <col min="29" max="29" width="12.77734375" style="10" customWidth="1"/>
    <col min="30" max="16384" width="9.77734375" style="10" customWidth="1"/>
  </cols>
  <sheetData>
    <row r="1" spans="1:16" ht="24.75" customHeight="1">
      <c r="A1" s="170" t="s">
        <v>164</v>
      </c>
      <c r="B1" s="132"/>
      <c r="C1" s="132"/>
      <c r="D1" s="132"/>
      <c r="E1" s="132"/>
      <c r="F1" s="132"/>
      <c r="G1" s="4"/>
      <c r="H1" s="4"/>
      <c r="I1" s="4"/>
      <c r="J1" s="4"/>
      <c r="K1" s="4"/>
      <c r="L1" s="4"/>
      <c r="M1" s="4"/>
      <c r="N1" s="50"/>
      <c r="O1" s="50"/>
      <c r="P1" s="208" t="s">
        <v>143</v>
      </c>
    </row>
    <row r="2" spans="1:16" ht="24.75" customHeight="1">
      <c r="A2" s="129" t="s">
        <v>512</v>
      </c>
      <c r="B2" s="129"/>
      <c r="C2" s="129"/>
      <c r="D2" s="129"/>
      <c r="E2" s="129"/>
      <c r="F2" s="1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24.75" customHeight="1">
      <c r="A3" s="6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24.75" customHeight="1">
      <c r="A4" s="478" t="s">
        <v>64</v>
      </c>
      <c r="B4" s="478"/>
      <c r="C4" s="478"/>
      <c r="D4" s="478"/>
      <c r="E4" s="478"/>
      <c r="F4" s="482">
        <v>2003</v>
      </c>
      <c r="G4" s="487">
        <v>2004</v>
      </c>
      <c r="H4" s="482">
        <v>2005</v>
      </c>
      <c r="I4" s="487">
        <v>2006</v>
      </c>
      <c r="J4" s="482">
        <v>2007</v>
      </c>
      <c r="K4" s="487">
        <v>2008</v>
      </c>
      <c r="L4" s="482">
        <v>2009</v>
      </c>
      <c r="M4" s="487">
        <v>2010</v>
      </c>
      <c r="N4" s="482">
        <v>2011</v>
      </c>
      <c r="O4" s="482">
        <v>2012</v>
      </c>
      <c r="P4" s="482" t="s">
        <v>499</v>
      </c>
    </row>
    <row r="5" spans="1:16" ht="24.75" customHeight="1">
      <c r="A5" s="479"/>
      <c r="B5" s="479"/>
      <c r="C5" s="479"/>
      <c r="D5" s="479"/>
      <c r="E5" s="479"/>
      <c r="F5" s="481"/>
      <c r="G5" s="488"/>
      <c r="H5" s="481"/>
      <c r="I5" s="488"/>
      <c r="J5" s="481"/>
      <c r="K5" s="488"/>
      <c r="L5" s="481"/>
      <c r="M5" s="488"/>
      <c r="N5" s="481"/>
      <c r="O5" s="481"/>
      <c r="P5" s="481"/>
    </row>
    <row r="6" spans="1:17" s="4" customFormat="1" ht="24.75" customHeight="1">
      <c r="A6" s="84"/>
      <c r="B6" s="84" t="s">
        <v>466</v>
      </c>
      <c r="C6" s="84"/>
      <c r="D6" s="84"/>
      <c r="E6" s="84"/>
      <c r="F6" s="102"/>
      <c r="G6" s="102"/>
      <c r="H6" s="102"/>
      <c r="I6" s="102"/>
      <c r="J6" s="102"/>
      <c r="K6" s="102"/>
      <c r="L6" s="102"/>
      <c r="M6" s="102"/>
      <c r="P6" s="102"/>
      <c r="Q6" s="8"/>
    </row>
    <row r="7" spans="1:17" s="4" customFormat="1" ht="24.75" customHeight="1">
      <c r="A7" s="85"/>
      <c r="B7" s="85" t="s">
        <v>29</v>
      </c>
      <c r="C7" s="85"/>
      <c r="D7" s="85"/>
      <c r="E7" s="70"/>
      <c r="F7" s="267">
        <v>191942.5</v>
      </c>
      <c r="G7" s="267">
        <v>224902.6186</v>
      </c>
      <c r="H7" s="267">
        <v>253367.417</v>
      </c>
      <c r="I7" s="267">
        <v>293654.1479</v>
      </c>
      <c r="J7" s="267">
        <v>346803.6686</v>
      </c>
      <c r="K7" s="294">
        <v>387402.563</v>
      </c>
      <c r="L7" s="267">
        <f>562293198.7/1000</f>
        <v>562293.1987000001</v>
      </c>
      <c r="M7" s="267">
        <v>602908.5323</v>
      </c>
      <c r="N7" s="267">
        <f>661997044.9/1000</f>
        <v>661997.0449</v>
      </c>
      <c r="O7" s="267">
        <f>678731648.1/1000</f>
        <v>678731.6481</v>
      </c>
      <c r="P7" s="267">
        <f>'C2 (Pág. 12)'!Q19/1000</f>
        <v>749205.2797999999</v>
      </c>
      <c r="Q7" s="8"/>
    </row>
    <row r="8" spans="1:17" s="4" customFormat="1" ht="24.75" customHeight="1">
      <c r="A8" s="122" t="s">
        <v>86</v>
      </c>
      <c r="B8" s="84"/>
      <c r="C8" s="75"/>
      <c r="D8" s="75"/>
      <c r="E8" s="75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8"/>
    </row>
    <row r="9" spans="1:17" s="4" customFormat="1" ht="24.75" customHeight="1">
      <c r="A9" s="84"/>
      <c r="B9" s="84" t="s">
        <v>165</v>
      </c>
      <c r="C9" s="75"/>
      <c r="D9" s="75"/>
      <c r="E9" s="75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8"/>
    </row>
    <row r="10" spans="1:17" s="4" customFormat="1" ht="24.75" customHeight="1">
      <c r="A10" s="84"/>
      <c r="B10" s="84" t="s">
        <v>32</v>
      </c>
      <c r="C10" s="75"/>
      <c r="D10" s="75"/>
      <c r="E10" s="75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8"/>
    </row>
    <row r="11" spans="1:17" s="4" customFormat="1" ht="24.75" customHeight="1">
      <c r="A11" s="84"/>
      <c r="B11" s="84" t="s">
        <v>18</v>
      </c>
      <c r="C11" s="84" t="s">
        <v>166</v>
      </c>
      <c r="D11" s="84"/>
      <c r="E11" s="75"/>
      <c r="F11" s="277">
        <v>-8338.004200000003</v>
      </c>
      <c r="G11" s="277">
        <v>-7007.126900000006</v>
      </c>
      <c r="H11" s="277">
        <v>-8955.941900000005</v>
      </c>
      <c r="I11" s="277">
        <v>-7795.347899999992</v>
      </c>
      <c r="J11" s="277">
        <v>-14658.097200000004</v>
      </c>
      <c r="K11" s="277">
        <v>-20194.251200000002</v>
      </c>
      <c r="L11" s="277">
        <v>-8286.834100000002</v>
      </c>
      <c r="M11" s="277">
        <v>-4067.0252000000182</v>
      </c>
      <c r="N11" s="277">
        <v>-12756.169599999994</v>
      </c>
      <c r="O11" s="277">
        <v>-15262.548500000015</v>
      </c>
      <c r="P11" s="277">
        <v>-26284.44390000001</v>
      </c>
      <c r="Q11" s="8" t="s">
        <v>513</v>
      </c>
    </row>
    <row r="12" spans="1:17" s="4" customFormat="1" ht="24.75" customHeight="1">
      <c r="A12" s="85"/>
      <c r="B12" s="85"/>
      <c r="C12" s="85" t="s">
        <v>167</v>
      </c>
      <c r="D12" s="85"/>
      <c r="E12" s="70"/>
      <c r="F12" s="293">
        <v>17012.777899999997</v>
      </c>
      <c r="G12" s="293">
        <v>12384.233600000001</v>
      </c>
      <c r="H12" s="293">
        <v>10298.380600000006</v>
      </c>
      <c r="I12" s="293">
        <v>5441.4661</v>
      </c>
      <c r="J12" s="293">
        <v>14650.0603</v>
      </c>
      <c r="K12" s="293">
        <v>23884.773400000013</v>
      </c>
      <c r="L12" s="293">
        <v>16273.5023</v>
      </c>
      <c r="M12" s="293">
        <v>44462.4172</v>
      </c>
      <c r="N12" s="293">
        <v>50894.829099999995</v>
      </c>
      <c r="O12" s="293">
        <v>51446.286100000005</v>
      </c>
      <c r="P12" s="348">
        <v>60962.0148</v>
      </c>
      <c r="Q12" s="8" t="s">
        <v>513</v>
      </c>
    </row>
    <row r="13" spans="1:17" s="4" customFormat="1" ht="24.75" customHeight="1">
      <c r="A13" s="84"/>
      <c r="B13" s="84" t="s">
        <v>168</v>
      </c>
      <c r="C13" s="75"/>
      <c r="D13" s="75"/>
      <c r="E13" s="75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8"/>
    </row>
    <row r="14" spans="1:17" s="4" customFormat="1" ht="24.75" customHeight="1">
      <c r="A14" s="84"/>
      <c r="B14" s="84" t="s">
        <v>32</v>
      </c>
      <c r="C14" s="75"/>
      <c r="D14" s="75"/>
      <c r="E14" s="75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8"/>
    </row>
    <row r="15" spans="1:17" s="4" customFormat="1" ht="24.75" customHeight="1">
      <c r="A15" s="84"/>
      <c r="B15" s="84"/>
      <c r="C15" s="84" t="s">
        <v>88</v>
      </c>
      <c r="D15" s="84"/>
      <c r="E15" s="75"/>
      <c r="F15" s="292">
        <v>164766.4</v>
      </c>
      <c r="G15" s="292">
        <v>187998.6</v>
      </c>
      <c r="H15" s="292">
        <v>214233</v>
      </c>
      <c r="I15" s="292">
        <v>249925.1</v>
      </c>
      <c r="J15" s="292">
        <v>271875.3</v>
      </c>
      <c r="K15" s="292">
        <v>291342.6</v>
      </c>
      <c r="L15" s="292">
        <v>229703.6</v>
      </c>
      <c r="M15" s="292">
        <v>298473.1</v>
      </c>
      <c r="N15" s="292">
        <v>349375</v>
      </c>
      <c r="O15" s="292">
        <v>370705.8</v>
      </c>
      <c r="P15" s="292">
        <v>380188.6</v>
      </c>
      <c r="Q15" s="8" t="s">
        <v>513</v>
      </c>
    </row>
    <row r="16" spans="1:17" s="4" customFormat="1" ht="24.75" customHeight="1">
      <c r="A16" s="85"/>
      <c r="B16" s="85"/>
      <c r="C16" s="85"/>
      <c r="D16" s="85"/>
      <c r="E16" s="85" t="s">
        <v>169</v>
      </c>
      <c r="F16" s="293">
        <v>18597.2</v>
      </c>
      <c r="G16" s="293">
        <v>23663.1</v>
      </c>
      <c r="H16" s="293">
        <v>31888.6</v>
      </c>
      <c r="I16" s="293">
        <v>39016.8</v>
      </c>
      <c r="J16" s="293">
        <v>43013.8</v>
      </c>
      <c r="K16" s="293">
        <v>50635.4</v>
      </c>
      <c r="L16" s="293">
        <v>30831.3</v>
      </c>
      <c r="M16" s="293">
        <v>41693.4</v>
      </c>
      <c r="N16" s="293">
        <v>56385.1</v>
      </c>
      <c r="O16" s="293">
        <v>52891.6</v>
      </c>
      <c r="P16" s="348">
        <v>49573.6</v>
      </c>
      <c r="Q16" s="8" t="s">
        <v>513</v>
      </c>
    </row>
    <row r="17" spans="1:17" s="4" customFormat="1" ht="24.75" customHeight="1">
      <c r="A17" s="84"/>
      <c r="B17" s="84"/>
      <c r="C17" s="84"/>
      <c r="D17" s="84"/>
      <c r="E17" s="84" t="s">
        <v>170</v>
      </c>
      <c r="F17" s="292">
        <v>146169.2</v>
      </c>
      <c r="G17" s="292">
        <v>164335.5</v>
      </c>
      <c r="H17" s="292">
        <v>182344.4</v>
      </c>
      <c r="I17" s="292">
        <v>210908.3</v>
      </c>
      <c r="J17" s="292">
        <v>228861.5</v>
      </c>
      <c r="K17" s="292">
        <v>240707.2</v>
      </c>
      <c r="L17" s="292">
        <v>198872.2</v>
      </c>
      <c r="M17" s="292">
        <v>256779.7</v>
      </c>
      <c r="N17" s="292">
        <v>292990</v>
      </c>
      <c r="O17" s="292">
        <v>317814.1</v>
      </c>
      <c r="P17" s="292">
        <v>330615</v>
      </c>
      <c r="Q17" s="8" t="s">
        <v>513</v>
      </c>
    </row>
    <row r="18" spans="1:17" s="4" customFormat="1" ht="24.75" customHeight="1">
      <c r="A18" s="85"/>
      <c r="B18" s="85"/>
      <c r="C18" s="85" t="s">
        <v>89</v>
      </c>
      <c r="D18" s="85"/>
      <c r="E18" s="70"/>
      <c r="F18" s="293">
        <v>170545.8</v>
      </c>
      <c r="G18" s="293">
        <v>196809.7</v>
      </c>
      <c r="H18" s="293">
        <v>221819.5</v>
      </c>
      <c r="I18" s="293">
        <v>256058.4</v>
      </c>
      <c r="J18" s="293">
        <v>281949</v>
      </c>
      <c r="K18" s="293">
        <v>308603.3</v>
      </c>
      <c r="L18" s="293">
        <v>234385</v>
      </c>
      <c r="M18" s="293">
        <v>301481.8</v>
      </c>
      <c r="N18" s="293">
        <v>350842.9</v>
      </c>
      <c r="O18" s="293">
        <v>370751.6</v>
      </c>
      <c r="P18" s="348">
        <v>381210.2</v>
      </c>
      <c r="Q18" s="8" t="s">
        <v>513</v>
      </c>
    </row>
    <row r="19" spans="1:17" s="4" customFormat="1" ht="24.75" customHeight="1">
      <c r="A19" s="84"/>
      <c r="B19" s="84"/>
      <c r="C19" s="84"/>
      <c r="D19" s="84"/>
      <c r="E19" s="84" t="s">
        <v>171</v>
      </c>
      <c r="F19" s="292">
        <v>21509</v>
      </c>
      <c r="G19" s="292">
        <v>25409</v>
      </c>
      <c r="H19" s="292">
        <v>31512.9</v>
      </c>
      <c r="I19" s="292">
        <v>36901</v>
      </c>
      <c r="J19" s="292">
        <v>43054.5</v>
      </c>
      <c r="K19" s="292">
        <v>47940.7</v>
      </c>
      <c r="L19" s="292">
        <v>32828.1</v>
      </c>
      <c r="M19" s="292">
        <v>41422.7</v>
      </c>
      <c r="N19" s="292">
        <v>51790.2</v>
      </c>
      <c r="O19" s="292">
        <v>54272.4</v>
      </c>
      <c r="P19" s="292">
        <v>57329.4</v>
      </c>
      <c r="Q19" s="8" t="s">
        <v>513</v>
      </c>
    </row>
    <row r="20" spans="1:17" s="4" customFormat="1" ht="24.75" customHeight="1">
      <c r="A20" s="85"/>
      <c r="B20" s="85"/>
      <c r="C20" s="85"/>
      <c r="D20" s="85"/>
      <c r="E20" s="85" t="s">
        <v>172</v>
      </c>
      <c r="F20" s="293">
        <v>128831.5</v>
      </c>
      <c r="G20" s="293">
        <v>148803.7</v>
      </c>
      <c r="H20" s="293">
        <v>164091.1</v>
      </c>
      <c r="I20" s="293">
        <v>188632.5</v>
      </c>
      <c r="J20" s="293">
        <v>205295.5</v>
      </c>
      <c r="K20" s="293">
        <v>221565.4</v>
      </c>
      <c r="L20" s="293">
        <v>170911.7</v>
      </c>
      <c r="M20" s="293">
        <v>229812.4</v>
      </c>
      <c r="N20" s="293">
        <v>264020.2</v>
      </c>
      <c r="O20" s="293">
        <v>277911.1</v>
      </c>
      <c r="P20" s="348">
        <v>284823.4</v>
      </c>
      <c r="Q20" s="8" t="s">
        <v>513</v>
      </c>
    </row>
    <row r="21" spans="1:17" s="4" customFormat="1" ht="24.75" customHeight="1">
      <c r="A21" s="84"/>
      <c r="B21" s="84"/>
      <c r="C21" s="84"/>
      <c r="D21" s="84"/>
      <c r="E21" s="84" t="s">
        <v>173</v>
      </c>
      <c r="F21" s="292">
        <v>20205.3</v>
      </c>
      <c r="G21" s="292">
        <v>22597</v>
      </c>
      <c r="H21" s="292">
        <v>26215.5</v>
      </c>
      <c r="I21" s="292">
        <v>30524.9</v>
      </c>
      <c r="J21" s="292">
        <v>33599</v>
      </c>
      <c r="K21" s="292">
        <v>39097.1</v>
      </c>
      <c r="L21" s="292">
        <v>30645.2</v>
      </c>
      <c r="M21" s="292">
        <v>30246.7</v>
      </c>
      <c r="N21" s="292">
        <v>35032.4</v>
      </c>
      <c r="O21" s="292">
        <v>38568.1</v>
      </c>
      <c r="P21" s="292">
        <v>39057.4</v>
      </c>
      <c r="Q21" s="8" t="s">
        <v>513</v>
      </c>
    </row>
    <row r="22" spans="1:17" s="4" customFormat="1" ht="24.75" customHeight="1">
      <c r="A22" s="85"/>
      <c r="B22" s="85"/>
      <c r="C22" s="85" t="s">
        <v>87</v>
      </c>
      <c r="D22" s="85"/>
      <c r="E22" s="70"/>
      <c r="F22" s="278">
        <v>-5779.4</v>
      </c>
      <c r="G22" s="278">
        <v>-8811.1</v>
      </c>
      <c r="H22" s="278">
        <v>-7586.6</v>
      </c>
      <c r="I22" s="278">
        <v>-6133.2</v>
      </c>
      <c r="J22" s="278">
        <v>-10073.7</v>
      </c>
      <c r="K22" s="278">
        <v>-17260.7</v>
      </c>
      <c r="L22" s="278">
        <v>-4681.4</v>
      </c>
      <c r="M22" s="278">
        <v>-3008.7</v>
      </c>
      <c r="N22" s="278">
        <v>-1467.8</v>
      </c>
      <c r="O22" s="278">
        <v>-45.8</v>
      </c>
      <c r="P22" s="293">
        <v>-1021.6</v>
      </c>
      <c r="Q22" s="8" t="s">
        <v>513</v>
      </c>
    </row>
    <row r="23" spans="1:17" s="4" customFormat="1" ht="24.75" customHeight="1">
      <c r="A23" s="122" t="s">
        <v>174</v>
      </c>
      <c r="B23" s="75"/>
      <c r="C23" s="75"/>
      <c r="D23" s="75"/>
      <c r="E23" s="75"/>
      <c r="F23" s="178"/>
      <c r="G23" s="178"/>
      <c r="H23" s="178"/>
      <c r="I23" s="178"/>
      <c r="J23" s="178"/>
      <c r="K23" s="178"/>
      <c r="L23" s="178"/>
      <c r="M23" s="178"/>
      <c r="Q23" s="8"/>
    </row>
    <row r="24" spans="1:17" s="4" customFormat="1" ht="24.75" customHeight="1">
      <c r="A24" s="122"/>
      <c r="B24" s="75" t="s">
        <v>175</v>
      </c>
      <c r="C24" s="75"/>
      <c r="D24" s="75"/>
      <c r="E24" s="75"/>
      <c r="F24" s="178"/>
      <c r="G24" s="178"/>
      <c r="H24" s="178"/>
      <c r="I24" s="178"/>
      <c r="J24" s="178"/>
      <c r="K24" s="178"/>
      <c r="L24" s="178"/>
      <c r="M24" s="178"/>
      <c r="Q24" s="8"/>
    </row>
    <row r="25" spans="1:17" s="4" customFormat="1" ht="24.75" customHeight="1">
      <c r="A25" s="122"/>
      <c r="B25" s="75"/>
      <c r="C25" s="75" t="s">
        <v>176</v>
      </c>
      <c r="D25" s="75"/>
      <c r="E25" s="75"/>
      <c r="F25" s="178"/>
      <c r="G25" s="178"/>
      <c r="H25" s="178"/>
      <c r="I25" s="178"/>
      <c r="J25" s="178"/>
      <c r="K25" s="178"/>
      <c r="L25" s="178"/>
      <c r="M25" s="178"/>
      <c r="Q25" s="8"/>
    </row>
    <row r="26" spans="1:17" s="4" customFormat="1" ht="24.75" customHeight="1">
      <c r="A26" s="122"/>
      <c r="B26" s="75"/>
      <c r="C26" s="75" t="s">
        <v>35</v>
      </c>
      <c r="D26" s="75"/>
      <c r="E26" s="75"/>
      <c r="F26" s="178"/>
      <c r="G26" s="178"/>
      <c r="H26" s="178"/>
      <c r="I26" s="178"/>
      <c r="J26" s="178"/>
      <c r="K26" s="178"/>
      <c r="L26" s="178"/>
      <c r="M26" s="178"/>
      <c r="Q26" s="8"/>
    </row>
    <row r="27" spans="1:17" s="4" customFormat="1" ht="24.75" customHeight="1">
      <c r="A27" s="84"/>
      <c r="B27" s="84"/>
      <c r="C27" s="84"/>
      <c r="D27" s="84" t="s">
        <v>177</v>
      </c>
      <c r="E27" s="75"/>
      <c r="F27" s="158"/>
      <c r="G27" s="158" t="s">
        <v>18</v>
      </c>
      <c r="H27" s="158"/>
      <c r="I27" s="158"/>
      <c r="J27" s="158"/>
      <c r="K27" s="158"/>
      <c r="L27" s="158"/>
      <c r="M27" s="158"/>
      <c r="Q27" s="8"/>
    </row>
    <row r="28" spans="1:18" s="4" customFormat="1" ht="24.75" customHeight="1">
      <c r="A28" s="84" t="s">
        <v>18</v>
      </c>
      <c r="B28" s="84"/>
      <c r="C28" s="84"/>
      <c r="D28" s="84"/>
      <c r="E28" s="84" t="s">
        <v>178</v>
      </c>
      <c r="F28" s="272">
        <v>11.2</v>
      </c>
      <c r="G28" s="272">
        <v>11.1</v>
      </c>
      <c r="H28" s="272">
        <v>10.45</v>
      </c>
      <c r="I28" s="272">
        <v>10.75</v>
      </c>
      <c r="J28" s="272">
        <v>10.8</v>
      </c>
      <c r="K28" s="272">
        <v>13.45</v>
      </c>
      <c r="L28" s="272">
        <v>12.6</v>
      </c>
      <c r="M28" s="272">
        <v>11.98</v>
      </c>
      <c r="N28" s="272">
        <v>13.65</v>
      </c>
      <c r="O28" s="272">
        <v>12.65</v>
      </c>
      <c r="P28" s="272">
        <v>12.63</v>
      </c>
      <c r="Q28" s="8" t="s">
        <v>514</v>
      </c>
      <c r="R28" s="4" t="s">
        <v>523</v>
      </c>
    </row>
    <row r="29" spans="1:18" s="4" customFormat="1" ht="24.75" customHeight="1">
      <c r="A29" s="85"/>
      <c r="B29" s="85"/>
      <c r="C29" s="85"/>
      <c r="D29" s="85"/>
      <c r="E29" s="85" t="s">
        <v>179</v>
      </c>
      <c r="F29" s="273">
        <v>11.4</v>
      </c>
      <c r="G29" s="273">
        <v>11.36</v>
      </c>
      <c r="H29" s="273">
        <v>10.8</v>
      </c>
      <c r="I29" s="273">
        <v>10.9</v>
      </c>
      <c r="J29" s="273">
        <v>11.03</v>
      </c>
      <c r="K29" s="273">
        <v>13.95</v>
      </c>
      <c r="L29" s="273">
        <v>13.15</v>
      </c>
      <c r="M29" s="273">
        <v>12.48</v>
      </c>
      <c r="N29" s="273">
        <v>14.15</v>
      </c>
      <c r="O29" s="273">
        <v>13.15</v>
      </c>
      <c r="P29" s="273">
        <v>13.5</v>
      </c>
      <c r="Q29" s="8" t="s">
        <v>514</v>
      </c>
      <c r="R29" s="4" t="s">
        <v>523</v>
      </c>
    </row>
    <row r="30" spans="1:17" s="4" customFormat="1" ht="24.75" customHeight="1">
      <c r="A30" s="84"/>
      <c r="B30" s="84"/>
      <c r="C30" s="84"/>
      <c r="D30" s="84" t="s">
        <v>180</v>
      </c>
      <c r="E30" s="75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8"/>
    </row>
    <row r="31" spans="1:18" s="4" customFormat="1" ht="24.75" customHeight="1">
      <c r="A31" s="84"/>
      <c r="B31" s="84"/>
      <c r="C31" s="84"/>
      <c r="D31" s="84"/>
      <c r="E31" s="84" t="s">
        <v>178</v>
      </c>
      <c r="F31" s="272">
        <v>11.2</v>
      </c>
      <c r="G31" s="272">
        <v>11.174</v>
      </c>
      <c r="H31" s="272">
        <v>10.6645</v>
      </c>
      <c r="I31" s="272">
        <v>10.8755</v>
      </c>
      <c r="J31" s="272">
        <v>10.918</v>
      </c>
      <c r="K31" s="272">
        <v>13.825</v>
      </c>
      <c r="L31" s="272">
        <v>13.0458</v>
      </c>
      <c r="M31" s="272">
        <v>12.395</v>
      </c>
      <c r="N31" s="272">
        <v>14.0164</v>
      </c>
      <c r="O31" s="272">
        <v>13.016</v>
      </c>
      <c r="P31" s="272">
        <v>13.072</v>
      </c>
      <c r="Q31" s="8" t="s">
        <v>514</v>
      </c>
      <c r="R31" s="4" t="s">
        <v>523</v>
      </c>
    </row>
    <row r="32" spans="1:18" s="4" customFormat="1" ht="24.75" customHeight="1">
      <c r="A32" s="85"/>
      <c r="B32" s="85"/>
      <c r="C32" s="85"/>
      <c r="D32" s="85"/>
      <c r="E32" s="85" t="s">
        <v>179</v>
      </c>
      <c r="F32" s="273">
        <v>11.2</v>
      </c>
      <c r="G32" s="273">
        <v>11.178</v>
      </c>
      <c r="H32" s="273">
        <v>10.665</v>
      </c>
      <c r="I32" s="273">
        <v>10.8775</v>
      </c>
      <c r="J32" s="273">
        <v>10.9195</v>
      </c>
      <c r="K32" s="273">
        <v>13.835</v>
      </c>
      <c r="L32" s="273">
        <v>13.0488</v>
      </c>
      <c r="M32" s="273">
        <v>12.398</v>
      </c>
      <c r="N32" s="273">
        <v>14.0194</v>
      </c>
      <c r="O32" s="273">
        <v>13.018</v>
      </c>
      <c r="P32" s="273">
        <v>13.076</v>
      </c>
      <c r="Q32" s="8" t="s">
        <v>514</v>
      </c>
      <c r="R32" s="4" t="s">
        <v>523</v>
      </c>
    </row>
    <row r="33" spans="1:17" s="4" customFormat="1" ht="24.75" customHeight="1">
      <c r="A33" s="84"/>
      <c r="B33" s="84"/>
      <c r="C33" s="84"/>
      <c r="D33" s="84" t="s">
        <v>181</v>
      </c>
      <c r="E33" s="84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8"/>
    </row>
    <row r="34" spans="1:18" s="4" customFormat="1" ht="24.75" customHeight="1">
      <c r="A34" s="84"/>
      <c r="B34" s="84"/>
      <c r="C34" s="84"/>
      <c r="D34" s="84"/>
      <c r="E34" s="84" t="s">
        <v>178</v>
      </c>
      <c r="F34" s="272">
        <v>8.67581</v>
      </c>
      <c r="G34" s="272">
        <v>9.27688</v>
      </c>
      <c r="H34" s="272">
        <v>9.159</v>
      </c>
      <c r="I34" s="272">
        <v>9.1578</v>
      </c>
      <c r="J34" s="272">
        <v>10.77</v>
      </c>
      <c r="K34" s="272">
        <v>11.0476</v>
      </c>
      <c r="L34" s="272">
        <v>12.0655</v>
      </c>
      <c r="M34" s="272">
        <v>12.0819</v>
      </c>
      <c r="N34" s="272">
        <v>13.3792</v>
      </c>
      <c r="O34" s="272">
        <v>12.6939</v>
      </c>
      <c r="P34" s="272">
        <v>12.2015</v>
      </c>
      <c r="Q34" s="8" t="s">
        <v>514</v>
      </c>
      <c r="R34" s="4" t="s">
        <v>523</v>
      </c>
    </row>
    <row r="35" spans="1:18" s="4" customFormat="1" ht="24.75" customHeight="1">
      <c r="A35" s="85"/>
      <c r="B35" s="85"/>
      <c r="C35" s="85"/>
      <c r="D35" s="85"/>
      <c r="E35" s="85" t="s">
        <v>179</v>
      </c>
      <c r="F35" s="273">
        <v>8.67852</v>
      </c>
      <c r="G35" s="273">
        <v>9.2802</v>
      </c>
      <c r="H35" s="273">
        <v>9.334</v>
      </c>
      <c r="I35" s="273">
        <v>9.3914</v>
      </c>
      <c r="J35" s="273">
        <v>11.0515</v>
      </c>
      <c r="K35" s="273">
        <v>11.4593</v>
      </c>
      <c r="L35" s="273">
        <v>12.4744</v>
      </c>
      <c r="M35" s="273">
        <v>12.483</v>
      </c>
      <c r="N35" s="273">
        <v>13.8703</v>
      </c>
      <c r="O35" s="273">
        <v>13.1967</v>
      </c>
      <c r="P35" s="273">
        <v>12.6718</v>
      </c>
      <c r="Q35" s="8" t="s">
        <v>514</v>
      </c>
      <c r="R35" s="4" t="s">
        <v>523</v>
      </c>
    </row>
    <row r="36" spans="1:17" s="4" customFormat="1" ht="24.75" customHeight="1">
      <c r="A36" s="84"/>
      <c r="B36" s="84"/>
      <c r="C36" s="84" t="s">
        <v>182</v>
      </c>
      <c r="D36" s="84"/>
      <c r="E36" s="84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8"/>
    </row>
    <row r="37" spans="1:17" s="4" customFormat="1" ht="24.75" customHeight="1">
      <c r="A37" s="84"/>
      <c r="B37" s="84"/>
      <c r="C37" s="84"/>
      <c r="D37" s="84" t="s">
        <v>183</v>
      </c>
      <c r="E37" s="75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8"/>
    </row>
    <row r="38" spans="1:18" s="4" customFormat="1" ht="24.75" customHeight="1">
      <c r="A38" s="84"/>
      <c r="B38" s="84"/>
      <c r="C38" s="84"/>
      <c r="D38" s="84" t="s">
        <v>36</v>
      </c>
      <c r="E38" s="75"/>
      <c r="F38" s="272">
        <v>20.055</v>
      </c>
      <c r="G38" s="272">
        <v>21.401</v>
      </c>
      <c r="H38" s="272">
        <v>18.3114</v>
      </c>
      <c r="I38" s="272">
        <v>21.3821</v>
      </c>
      <c r="J38" s="272">
        <v>21.9172</v>
      </c>
      <c r="K38" s="272">
        <v>20.16</v>
      </c>
      <c r="L38" s="272">
        <v>21.1502</v>
      </c>
      <c r="M38" s="272">
        <v>19.2804</v>
      </c>
      <c r="N38" s="272">
        <v>21.8059</v>
      </c>
      <c r="O38" s="272">
        <v>21.2725</v>
      </c>
      <c r="P38" s="272">
        <v>22.2719</v>
      </c>
      <c r="Q38" s="8" t="s">
        <v>514</v>
      </c>
      <c r="R38" s="4" t="s">
        <v>523</v>
      </c>
    </row>
    <row r="39" spans="1:17" ht="24.75" customHeight="1">
      <c r="A39" s="84"/>
      <c r="B39" s="84"/>
      <c r="C39" s="84"/>
      <c r="D39" s="84" t="s">
        <v>184</v>
      </c>
      <c r="E39" s="84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8"/>
    </row>
    <row r="40" spans="1:18" ht="24.75" customHeight="1">
      <c r="A40" s="85"/>
      <c r="B40" s="85"/>
      <c r="C40" s="85"/>
      <c r="D40" s="85" t="s">
        <v>37</v>
      </c>
      <c r="E40" s="85"/>
      <c r="F40" s="267">
        <v>14.1634</v>
      </c>
      <c r="G40" s="267">
        <v>14.9613</v>
      </c>
      <c r="H40" s="267">
        <v>12.5454</v>
      </c>
      <c r="I40" s="267">
        <v>14.3351</v>
      </c>
      <c r="J40" s="267">
        <v>16.0998</v>
      </c>
      <c r="K40" s="267">
        <v>19.7211</v>
      </c>
      <c r="L40" s="267">
        <v>18.8615</v>
      </c>
      <c r="M40" s="267">
        <v>16.5804</v>
      </c>
      <c r="N40" s="267">
        <v>18.2449</v>
      </c>
      <c r="O40" s="267">
        <v>17.3426</v>
      </c>
      <c r="P40" s="267">
        <v>18.6141</v>
      </c>
      <c r="Q40" s="8" t="s">
        <v>514</v>
      </c>
      <c r="R40" s="10" t="s">
        <v>523</v>
      </c>
    </row>
    <row r="41" spans="1:17" ht="24.75" customHeight="1">
      <c r="A41" s="84"/>
      <c r="B41" s="84"/>
      <c r="C41" s="84"/>
      <c r="D41" s="84" t="s">
        <v>185</v>
      </c>
      <c r="E41" s="75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8"/>
    </row>
    <row r="42" spans="1:18" ht="24.75" customHeight="1">
      <c r="A42" s="84"/>
      <c r="B42" s="84"/>
      <c r="C42" s="84"/>
      <c r="D42" s="84" t="s">
        <v>38</v>
      </c>
      <c r="E42" s="75"/>
      <c r="F42" s="268">
        <v>0.1051</v>
      </c>
      <c r="G42" s="268">
        <v>0.1074</v>
      </c>
      <c r="H42" s="268">
        <v>0.0901</v>
      </c>
      <c r="I42" s="268">
        <v>0.0921</v>
      </c>
      <c r="J42" s="268">
        <v>0.0992</v>
      </c>
      <c r="K42" s="268">
        <v>0.1549</v>
      </c>
      <c r="L42" s="268">
        <v>0.1426</v>
      </c>
      <c r="M42" s="268">
        <v>0.1536</v>
      </c>
      <c r="N42" s="268">
        <v>0.1825</v>
      </c>
      <c r="O42" s="268">
        <v>0.1533</v>
      </c>
      <c r="P42" s="268">
        <v>0.1291</v>
      </c>
      <c r="Q42" s="8" t="s">
        <v>514</v>
      </c>
      <c r="R42" s="10" t="s">
        <v>523</v>
      </c>
    </row>
    <row r="43" spans="1:17" ht="15">
      <c r="A43" s="84"/>
      <c r="B43" s="84" t="s">
        <v>186</v>
      </c>
      <c r="C43" s="75"/>
      <c r="D43" s="75"/>
      <c r="E43" s="75"/>
      <c r="F43" s="144"/>
      <c r="G43" s="144"/>
      <c r="H43" s="144"/>
      <c r="I43" s="144"/>
      <c r="J43" s="144"/>
      <c r="K43" s="144"/>
      <c r="L43" s="144"/>
      <c r="M43" s="144"/>
      <c r="Q43" s="8"/>
    </row>
    <row r="44" spans="1:17" ht="15">
      <c r="A44" s="84"/>
      <c r="B44" s="84"/>
      <c r="C44" s="75" t="s">
        <v>187</v>
      </c>
      <c r="D44" s="75"/>
      <c r="E44" s="75"/>
      <c r="F44" s="144"/>
      <c r="G44" s="144"/>
      <c r="H44" s="144"/>
      <c r="I44" s="144"/>
      <c r="J44" s="144"/>
      <c r="K44" s="144"/>
      <c r="L44" s="144"/>
      <c r="M44" s="144"/>
      <c r="Q44" s="8"/>
    </row>
    <row r="45" spans="1:17" ht="24.75" customHeight="1">
      <c r="A45" s="84"/>
      <c r="B45" s="84"/>
      <c r="C45" s="84"/>
      <c r="D45" s="84" t="s">
        <v>107</v>
      </c>
      <c r="E45" s="75"/>
      <c r="F45" s="144"/>
      <c r="G45" s="144"/>
      <c r="H45" s="144"/>
      <c r="I45" s="144"/>
      <c r="J45" s="144"/>
      <c r="K45" s="144"/>
      <c r="L45" s="144"/>
      <c r="M45" s="144"/>
      <c r="Q45" s="8"/>
    </row>
    <row r="46" spans="1:17" ht="24.75" customHeight="1">
      <c r="A46" s="84"/>
      <c r="B46" s="84"/>
      <c r="C46" s="84"/>
      <c r="D46" s="84"/>
      <c r="E46" s="84" t="s">
        <v>188</v>
      </c>
      <c r="F46" s="144"/>
      <c r="G46" s="144"/>
      <c r="H46" s="144"/>
      <c r="I46" s="144"/>
      <c r="J46" s="144"/>
      <c r="K46" s="144"/>
      <c r="L46" s="144"/>
      <c r="M46" s="144"/>
      <c r="Q46" s="8"/>
    </row>
    <row r="47" spans="1:18" ht="24.75" customHeight="1">
      <c r="A47" s="85"/>
      <c r="B47" s="85"/>
      <c r="C47" s="85"/>
      <c r="D47" s="85"/>
      <c r="E47" s="85" t="s">
        <v>30</v>
      </c>
      <c r="F47" s="267">
        <v>4650</v>
      </c>
      <c r="G47" s="267">
        <v>5160</v>
      </c>
      <c r="H47" s="267">
        <v>5640</v>
      </c>
      <c r="I47" s="267">
        <v>7050</v>
      </c>
      <c r="J47" s="267">
        <v>9000</v>
      </c>
      <c r="K47" s="267">
        <v>11400</v>
      </c>
      <c r="L47" s="267">
        <v>13476.8</v>
      </c>
      <c r="M47" s="267">
        <v>16502.8</v>
      </c>
      <c r="N47" s="267">
        <v>20192.9</v>
      </c>
      <c r="O47" s="267">
        <v>20299.2</v>
      </c>
      <c r="P47" s="267">
        <v>14688.7</v>
      </c>
      <c r="Q47" s="8" t="s">
        <v>514</v>
      </c>
      <c r="R47" s="10" t="s">
        <v>524</v>
      </c>
    </row>
    <row r="48" spans="1:17" ht="24.75" customHeight="1">
      <c r="A48" s="84"/>
      <c r="B48" s="84"/>
      <c r="C48" s="84"/>
      <c r="D48" s="84"/>
      <c r="E48" s="84" t="s">
        <v>189</v>
      </c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8"/>
    </row>
    <row r="49" spans="1:18" ht="24.75" customHeight="1">
      <c r="A49" s="84"/>
      <c r="B49" s="84"/>
      <c r="C49" s="84"/>
      <c r="D49" s="84"/>
      <c r="E49" s="84" t="s">
        <v>39</v>
      </c>
      <c r="F49" s="268">
        <v>416.1</v>
      </c>
      <c r="G49" s="268">
        <v>437.9</v>
      </c>
      <c r="H49" s="268">
        <v>517</v>
      </c>
      <c r="I49" s="268">
        <v>633.5</v>
      </c>
      <c r="J49" s="268">
        <v>837</v>
      </c>
      <c r="K49" s="268">
        <v>872.45</v>
      </c>
      <c r="L49" s="268">
        <v>1194.3</v>
      </c>
      <c r="M49" s="268">
        <v>1406.5</v>
      </c>
      <c r="N49" s="268">
        <v>1549.55</v>
      </c>
      <c r="O49" s="268">
        <v>1656.65</v>
      </c>
      <c r="P49" s="268">
        <v>1198.85</v>
      </c>
      <c r="Q49" s="8" t="s">
        <v>514</v>
      </c>
      <c r="R49" s="10" t="s">
        <v>524</v>
      </c>
    </row>
    <row r="50" spans="1:17" ht="24.75" customHeight="1">
      <c r="A50" s="84"/>
      <c r="B50" s="84"/>
      <c r="C50" s="84"/>
      <c r="D50" s="84"/>
      <c r="E50" s="84" t="s">
        <v>190</v>
      </c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8"/>
    </row>
    <row r="51" spans="1:18" ht="24.75" customHeight="1">
      <c r="A51" s="85"/>
      <c r="B51" s="85"/>
      <c r="C51" s="85"/>
      <c r="D51" s="85"/>
      <c r="E51" s="85" t="s">
        <v>39</v>
      </c>
      <c r="F51" s="267">
        <v>415.95</v>
      </c>
      <c r="G51" s="267">
        <v>437.75</v>
      </c>
      <c r="H51" s="267">
        <v>516.4</v>
      </c>
      <c r="I51" s="267">
        <v>628.55</v>
      </c>
      <c r="J51" s="267">
        <v>828.6</v>
      </c>
      <c r="K51" s="267">
        <v>875.2</v>
      </c>
      <c r="L51" s="267">
        <v>1090</v>
      </c>
      <c r="M51" s="267">
        <v>1408.54</v>
      </c>
      <c r="N51" s="267">
        <v>1534.25</v>
      </c>
      <c r="O51" s="267">
        <v>1660.97</v>
      </c>
      <c r="P51" s="267">
        <v>1209.7</v>
      </c>
      <c r="Q51" s="8" t="s">
        <v>514</v>
      </c>
      <c r="R51" s="10" t="s">
        <v>524</v>
      </c>
    </row>
    <row r="52" spans="1:17" ht="24.75" customHeight="1">
      <c r="A52" s="84"/>
      <c r="B52" s="84"/>
      <c r="C52" s="84"/>
      <c r="D52" s="84"/>
      <c r="E52" s="84" t="s">
        <v>191</v>
      </c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8"/>
    </row>
    <row r="53" spans="1:18" ht="24.75" customHeight="1">
      <c r="A53" s="84"/>
      <c r="B53" s="84"/>
      <c r="C53" s="84"/>
      <c r="D53" s="84"/>
      <c r="E53" s="84" t="s">
        <v>30</v>
      </c>
      <c r="F53" s="268">
        <v>5850</v>
      </c>
      <c r="G53" s="268">
        <v>6150</v>
      </c>
      <c r="H53" s="268">
        <v>6900</v>
      </c>
      <c r="I53" s="268">
        <v>8350</v>
      </c>
      <c r="J53" s="268">
        <v>11100</v>
      </c>
      <c r="K53" s="268">
        <v>14500</v>
      </c>
      <c r="L53" s="268">
        <v>17826.69</v>
      </c>
      <c r="M53" s="268">
        <v>21829.42</v>
      </c>
      <c r="N53" s="268">
        <v>26710.62</v>
      </c>
      <c r="O53" s="268">
        <v>26851.25</v>
      </c>
      <c r="P53" s="268">
        <v>19429.83</v>
      </c>
      <c r="Q53" s="8" t="s">
        <v>514</v>
      </c>
      <c r="R53" s="10" t="s">
        <v>524</v>
      </c>
    </row>
    <row r="54" spans="1:17" ht="24.75" customHeight="1">
      <c r="A54" s="84"/>
      <c r="B54" s="84"/>
      <c r="C54" s="84"/>
      <c r="D54" s="84" t="s">
        <v>108</v>
      </c>
      <c r="E54" s="75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8"/>
    </row>
    <row r="55" spans="1:17" ht="24.75" customHeight="1">
      <c r="A55" s="84"/>
      <c r="B55" s="84"/>
      <c r="C55" s="84"/>
      <c r="D55" s="84"/>
      <c r="E55" s="84" t="s">
        <v>188</v>
      </c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8"/>
    </row>
    <row r="56" spans="1:18" ht="24.75" customHeight="1">
      <c r="A56" s="85"/>
      <c r="B56" s="85"/>
      <c r="C56" s="85"/>
      <c r="D56" s="85"/>
      <c r="E56" s="85" t="s">
        <v>30</v>
      </c>
      <c r="F56" s="267">
        <v>81</v>
      </c>
      <c r="G56" s="267">
        <v>100</v>
      </c>
      <c r="H56" s="267">
        <v>110</v>
      </c>
      <c r="I56" s="267">
        <v>160</v>
      </c>
      <c r="J56" s="267">
        <v>180</v>
      </c>
      <c r="K56" s="267">
        <v>170</v>
      </c>
      <c r="L56" s="267">
        <v>266.5</v>
      </c>
      <c r="M56" s="267">
        <v>457.8</v>
      </c>
      <c r="N56" s="267">
        <v>452.2</v>
      </c>
      <c r="O56" s="267">
        <v>468.6</v>
      </c>
      <c r="P56" s="267">
        <v>305.8</v>
      </c>
      <c r="Q56" s="8" t="s">
        <v>514</v>
      </c>
      <c r="R56" s="10" t="s">
        <v>524</v>
      </c>
    </row>
    <row r="57" spans="1:17" ht="24.75" customHeight="1">
      <c r="A57" s="84"/>
      <c r="B57" s="84"/>
      <c r="C57" s="84"/>
      <c r="D57" s="84"/>
      <c r="E57" s="84" t="s">
        <v>192</v>
      </c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8"/>
    </row>
    <row r="58" spans="1:18" ht="24.75" customHeight="1">
      <c r="A58" s="84"/>
      <c r="B58" s="84"/>
      <c r="C58" s="84"/>
      <c r="D58" s="84"/>
      <c r="E58" s="84" t="s">
        <v>39</v>
      </c>
      <c r="F58" s="268">
        <v>5.91</v>
      </c>
      <c r="G58" s="268">
        <v>6.81</v>
      </c>
      <c r="H58" s="268">
        <v>8.59</v>
      </c>
      <c r="I58" s="268">
        <v>12.83</v>
      </c>
      <c r="J58" s="268">
        <v>14.82</v>
      </c>
      <c r="K58" s="268">
        <v>11.11</v>
      </c>
      <c r="L58" s="268">
        <v>16.88</v>
      </c>
      <c r="M58" s="268">
        <v>30.6</v>
      </c>
      <c r="N58" s="268">
        <v>27.7</v>
      </c>
      <c r="O58" s="268">
        <v>30</v>
      </c>
      <c r="P58" s="268">
        <v>19.6</v>
      </c>
      <c r="Q58" s="8" t="s">
        <v>514</v>
      </c>
      <c r="R58" s="10" t="s">
        <v>524</v>
      </c>
    </row>
    <row r="59" spans="1:17" ht="24.75" customHeight="1">
      <c r="A59" s="84"/>
      <c r="B59" s="84"/>
      <c r="C59" s="84"/>
      <c r="D59" s="84"/>
      <c r="E59" s="84" t="s">
        <v>193</v>
      </c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8"/>
    </row>
    <row r="60" spans="1:18" ht="24.75" customHeight="1">
      <c r="A60" s="85"/>
      <c r="B60" s="85"/>
      <c r="C60" s="85"/>
      <c r="D60" s="85"/>
      <c r="E60" s="85" t="s">
        <v>39</v>
      </c>
      <c r="F60" s="267">
        <v>5.91</v>
      </c>
      <c r="G60" s="267">
        <v>6.84</v>
      </c>
      <c r="H60" s="267">
        <v>8.85</v>
      </c>
      <c r="I60" s="267">
        <v>12.87</v>
      </c>
      <c r="J60" s="267">
        <v>14.68</v>
      </c>
      <c r="K60" s="267">
        <v>11</v>
      </c>
      <c r="L60" s="267">
        <v>16.86</v>
      </c>
      <c r="M60" s="267">
        <v>30.57</v>
      </c>
      <c r="N60" s="267">
        <v>26.88</v>
      </c>
      <c r="O60" s="267">
        <v>30</v>
      </c>
      <c r="P60" s="267">
        <v>19.7</v>
      </c>
      <c r="Q60" s="8" t="s">
        <v>514</v>
      </c>
      <c r="R60" s="10" t="s">
        <v>524</v>
      </c>
    </row>
    <row r="61" spans="1:17" ht="15">
      <c r="A61" s="84"/>
      <c r="B61" s="84"/>
      <c r="C61" s="84" t="s">
        <v>194</v>
      </c>
      <c r="D61" s="84"/>
      <c r="E61" s="84"/>
      <c r="F61" s="268"/>
      <c r="G61" s="268"/>
      <c r="H61" s="268"/>
      <c r="I61" s="268"/>
      <c r="J61" s="268"/>
      <c r="K61" s="268"/>
      <c r="L61" s="268"/>
      <c r="M61" s="268"/>
      <c r="N61" s="295"/>
      <c r="O61" s="295"/>
      <c r="P61" s="295"/>
      <c r="Q61" s="8"/>
    </row>
    <row r="62" spans="1:17" ht="24.75" customHeight="1">
      <c r="A62" s="84"/>
      <c r="B62" s="84"/>
      <c r="C62" s="84" t="s">
        <v>47</v>
      </c>
      <c r="D62" s="84"/>
      <c r="E62" s="84"/>
      <c r="F62" s="268"/>
      <c r="G62" s="268"/>
      <c r="H62" s="268"/>
      <c r="I62" s="268"/>
      <c r="J62" s="268"/>
      <c r="K62" s="268"/>
      <c r="L62" s="268"/>
      <c r="M62" s="268"/>
      <c r="N62" s="295"/>
      <c r="O62" s="295"/>
      <c r="P62" s="295"/>
      <c r="Q62" s="8"/>
    </row>
    <row r="63" spans="1:18" ht="24.75" customHeight="1">
      <c r="A63" s="84"/>
      <c r="B63" s="84"/>
      <c r="C63" s="84"/>
      <c r="D63" s="84" t="s">
        <v>195</v>
      </c>
      <c r="E63" s="84"/>
      <c r="F63" s="268">
        <v>24.6</v>
      </c>
      <c r="G63" s="268">
        <v>26.98</v>
      </c>
      <c r="H63" s="268">
        <v>44</v>
      </c>
      <c r="I63" s="268">
        <v>46.51</v>
      </c>
      <c r="J63" s="268">
        <v>80.62</v>
      </c>
      <c r="K63" s="268">
        <v>28.45</v>
      </c>
      <c r="L63" s="268">
        <v>71.43</v>
      </c>
      <c r="M63" s="268">
        <v>79.94</v>
      </c>
      <c r="N63" s="268">
        <v>104.55</v>
      </c>
      <c r="O63" s="268">
        <v>92.41</v>
      </c>
      <c r="P63" s="268">
        <v>89.75</v>
      </c>
      <c r="Q63" s="8" t="s">
        <v>514</v>
      </c>
      <c r="R63" s="10" t="s">
        <v>524</v>
      </c>
    </row>
    <row r="64" spans="1:18" ht="24.75" customHeight="1">
      <c r="A64" s="85"/>
      <c r="B64" s="85"/>
      <c r="C64" s="85"/>
      <c r="D64" s="85" t="s">
        <v>196</v>
      </c>
      <c r="E64" s="85"/>
      <c r="F64" s="267">
        <v>30.38</v>
      </c>
      <c r="G64" s="267">
        <v>34.9</v>
      </c>
      <c r="H64" s="267">
        <v>53.8</v>
      </c>
      <c r="I64" s="267">
        <v>54.76</v>
      </c>
      <c r="J64" s="267">
        <v>90.99</v>
      </c>
      <c r="K64" s="267">
        <v>34.03</v>
      </c>
      <c r="L64" s="267">
        <v>77.01</v>
      </c>
      <c r="M64" s="267">
        <v>89.06</v>
      </c>
      <c r="N64" s="267">
        <v>110.58</v>
      </c>
      <c r="O64" s="267">
        <v>99.87</v>
      </c>
      <c r="P64" s="267">
        <v>98.69</v>
      </c>
      <c r="Q64" s="8" t="s">
        <v>514</v>
      </c>
      <c r="R64" s="10" t="s">
        <v>524</v>
      </c>
    </row>
    <row r="65" spans="1:18" ht="24.75" customHeight="1">
      <c r="A65" s="84"/>
      <c r="B65" s="84"/>
      <c r="C65" s="84"/>
      <c r="D65" s="84" t="s">
        <v>197</v>
      </c>
      <c r="E65" s="84"/>
      <c r="F65" s="268">
        <v>31.55</v>
      </c>
      <c r="G65" s="268">
        <v>40.77</v>
      </c>
      <c r="H65" s="268">
        <v>57.33</v>
      </c>
      <c r="I65" s="268">
        <v>59.34</v>
      </c>
      <c r="J65" s="268">
        <v>96.53</v>
      </c>
      <c r="K65" s="268">
        <v>39.67</v>
      </c>
      <c r="L65" s="268">
        <v>79.14</v>
      </c>
      <c r="M65" s="268">
        <v>91.23</v>
      </c>
      <c r="N65" s="268">
        <v>113.42</v>
      </c>
      <c r="O65" s="268">
        <v>104.23</v>
      </c>
      <c r="P65" s="268">
        <v>101.08</v>
      </c>
      <c r="Q65" s="8" t="s">
        <v>514</v>
      </c>
      <c r="R65" s="10" t="s">
        <v>524</v>
      </c>
    </row>
    <row r="66" spans="1:18" ht="24.75" customHeight="1">
      <c r="A66" s="85"/>
      <c r="B66" s="85"/>
      <c r="C66" s="85"/>
      <c r="D66" s="85" t="s">
        <v>198</v>
      </c>
      <c r="E66" s="85"/>
      <c r="F66" s="267">
        <v>27.1</v>
      </c>
      <c r="G66" s="267">
        <v>31.53</v>
      </c>
      <c r="H66" s="267">
        <v>48.65</v>
      </c>
      <c r="I66" s="267">
        <v>50.85</v>
      </c>
      <c r="J66" s="267">
        <v>82.44</v>
      </c>
      <c r="K66" s="267">
        <v>30.38</v>
      </c>
      <c r="L66" s="267">
        <v>73.12</v>
      </c>
      <c r="M66" s="267">
        <v>82.46</v>
      </c>
      <c r="N66" s="267">
        <v>104.97</v>
      </c>
      <c r="O66" s="267">
        <v>96.49</v>
      </c>
      <c r="P66" s="267">
        <v>93.2</v>
      </c>
      <c r="Q66" s="8" t="s">
        <v>514</v>
      </c>
      <c r="R66" s="10" t="s">
        <v>524</v>
      </c>
    </row>
    <row r="67" spans="1:16" ht="24.75" customHeight="1">
      <c r="A67" s="84"/>
      <c r="B67" s="84"/>
      <c r="C67" s="84" t="s">
        <v>302</v>
      </c>
      <c r="D67" s="84"/>
      <c r="E67" s="8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</row>
    <row r="68" spans="1:16" ht="24.75" customHeight="1">
      <c r="A68" s="84"/>
      <c r="B68" s="84"/>
      <c r="C68" s="84" t="s">
        <v>48</v>
      </c>
      <c r="D68" s="84"/>
      <c r="E68" s="8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</row>
    <row r="69" spans="1:16" ht="24.75" customHeight="1">
      <c r="A69" s="84"/>
      <c r="B69" s="84"/>
      <c r="C69" s="84"/>
      <c r="D69" s="84" t="s">
        <v>568</v>
      </c>
      <c r="E69" s="84"/>
      <c r="F69" s="272">
        <v>3450</v>
      </c>
      <c r="G69" s="272">
        <v>8170</v>
      </c>
      <c r="H69" s="272">
        <v>8240</v>
      </c>
      <c r="I69" s="272">
        <v>9940</v>
      </c>
      <c r="J69" s="272">
        <v>9413.09</v>
      </c>
      <c r="K69" s="272">
        <v>9910</v>
      </c>
      <c r="L69" s="268">
        <v>9051.73</v>
      </c>
      <c r="M69" s="268">
        <v>8300</v>
      </c>
      <c r="N69" s="268">
        <v>11982.8</v>
      </c>
      <c r="O69" s="268">
        <v>9913.79</v>
      </c>
      <c r="P69" s="268">
        <v>9913.79</v>
      </c>
    </row>
    <row r="70" spans="1:16" ht="24.75" customHeight="1">
      <c r="A70" s="85"/>
      <c r="B70" s="85"/>
      <c r="C70" s="85"/>
      <c r="D70" s="85" t="s">
        <v>199</v>
      </c>
      <c r="E70" s="85"/>
      <c r="F70" s="273">
        <v>1650</v>
      </c>
      <c r="G70" s="273">
        <v>1650</v>
      </c>
      <c r="H70" s="273">
        <v>1420</v>
      </c>
      <c r="I70" s="273">
        <v>1520</v>
      </c>
      <c r="J70" s="273">
        <v>1557.39</v>
      </c>
      <c r="K70" s="273">
        <v>1317.39</v>
      </c>
      <c r="L70" s="267">
        <v>1640.87</v>
      </c>
      <c r="M70" s="267">
        <v>1577.58</v>
      </c>
      <c r="N70" s="267">
        <v>1965.52</v>
      </c>
      <c r="O70" s="267">
        <v>1681.03</v>
      </c>
      <c r="P70" s="267">
        <v>1939.65</v>
      </c>
    </row>
    <row r="71" spans="1:16" ht="24.75" customHeight="1">
      <c r="A71" s="106" t="s">
        <v>25</v>
      </c>
      <c r="B71" s="84"/>
      <c r="C71" s="84"/>
      <c r="D71" s="84"/>
      <c r="E71" s="84"/>
      <c r="F71" s="246"/>
      <c r="G71" s="246"/>
      <c r="H71" s="247"/>
      <c r="I71" s="247"/>
      <c r="J71" s="247"/>
      <c r="K71" s="247"/>
      <c r="L71" s="247"/>
      <c r="M71" s="247"/>
      <c r="N71" s="247"/>
      <c r="O71" s="247"/>
      <c r="P71" s="247"/>
    </row>
    <row r="72" ht="6" customHeight="1">
      <c r="A72" s="21"/>
    </row>
    <row r="73" spans="1:16" ht="18">
      <c r="A73" s="477"/>
      <c r="B73" s="477"/>
      <c r="C73" s="477"/>
      <c r="D73" s="477"/>
      <c r="E73" s="477"/>
      <c r="F73" s="477"/>
      <c r="G73" s="477"/>
      <c r="H73" s="477"/>
      <c r="I73" s="477"/>
      <c r="J73" s="477"/>
      <c r="K73" s="477"/>
      <c r="L73" s="477"/>
      <c r="M73" s="477"/>
      <c r="N73" s="477"/>
      <c r="O73" s="477"/>
      <c r="P73" s="477"/>
    </row>
  </sheetData>
  <sheetProtection/>
  <mergeCells count="13">
    <mergeCell ref="L4:L5"/>
    <mergeCell ref="M4:M5"/>
    <mergeCell ref="N4:N5"/>
    <mergeCell ref="P4:P5"/>
    <mergeCell ref="A73:P73"/>
    <mergeCell ref="A4:E5"/>
    <mergeCell ref="F4:F5"/>
    <mergeCell ref="G4:G5"/>
    <mergeCell ref="H4:H5"/>
    <mergeCell ref="I4:I5"/>
    <mergeCell ref="J4:J5"/>
    <mergeCell ref="K4:K5"/>
    <mergeCell ref="O4:O5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scale="43" r:id="rId2"/>
  <headerFooter alignWithMargins="0">
    <oddHeader>&amp;C
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theme="9" tint="-0.24997000396251678"/>
  </sheetPr>
  <dimension ref="A1:U109"/>
  <sheetViews>
    <sheetView showGridLines="0" view="pageBreakPreview" zoomScale="70" zoomScaleNormal="60" zoomScaleSheetLayoutView="70" zoomScalePageLayoutView="0" workbookViewId="0" topLeftCell="A1">
      <pane xSplit="5" ySplit="5" topLeftCell="F62" activePane="bottomRight" state="frozen"/>
      <selection pane="topLeft" activeCell="A1" sqref="A1"/>
      <selection pane="topRight" activeCell="F1" sqref="F1"/>
      <selection pane="bottomLeft" activeCell="A6" sqref="A6"/>
      <selection pane="bottomRight" activeCell="T45" sqref="T45"/>
    </sheetView>
  </sheetViews>
  <sheetFormatPr defaultColWidth="9.77734375" defaultRowHeight="15.75"/>
  <cols>
    <col min="1" max="4" width="2.77734375" style="4" customWidth="1"/>
    <col min="5" max="5" width="25.6640625" style="4" customWidth="1"/>
    <col min="6" max="14" width="11.77734375" style="4" customWidth="1"/>
    <col min="15" max="15" width="12.5546875" style="4" customWidth="1"/>
    <col min="16" max="16" width="11.77734375" style="4" customWidth="1"/>
    <col min="17" max="16384" width="9.77734375" style="4" customWidth="1"/>
  </cols>
  <sheetData>
    <row r="1" spans="1:16" ht="24.75" customHeight="1">
      <c r="A1" s="170" t="s">
        <v>142</v>
      </c>
      <c r="B1" s="129"/>
      <c r="C1" s="129"/>
      <c r="D1" s="129"/>
      <c r="E1" s="129"/>
      <c r="F1" s="129"/>
      <c r="G1" s="29"/>
      <c r="H1" s="29"/>
      <c r="I1" s="29"/>
      <c r="J1" s="29"/>
      <c r="K1" s="29"/>
      <c r="L1" s="29"/>
      <c r="M1" s="29"/>
      <c r="N1" s="50"/>
      <c r="O1" s="50"/>
      <c r="P1" s="208" t="s">
        <v>143</v>
      </c>
    </row>
    <row r="2" spans="1:16" ht="24.75" customHeight="1">
      <c r="A2" s="129" t="s">
        <v>512</v>
      </c>
      <c r="B2" s="169"/>
      <c r="C2" s="169"/>
      <c r="D2" s="169"/>
      <c r="E2" s="169"/>
      <c r="F2" s="169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21" ht="24.75" customHeight="1">
      <c r="A3" s="3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0"/>
      <c r="R3" s="10"/>
      <c r="S3" s="10"/>
      <c r="T3" s="10"/>
      <c r="U3" s="10"/>
    </row>
    <row r="4" spans="1:21" ht="24.75" customHeight="1">
      <c r="A4" s="478" t="s">
        <v>64</v>
      </c>
      <c r="B4" s="478"/>
      <c r="C4" s="478"/>
      <c r="D4" s="478"/>
      <c r="E4" s="478"/>
      <c r="F4" s="482">
        <v>2003</v>
      </c>
      <c r="G4" s="487">
        <v>2004</v>
      </c>
      <c r="H4" s="482">
        <v>2005</v>
      </c>
      <c r="I4" s="487">
        <v>2006</v>
      </c>
      <c r="J4" s="482">
        <v>2007</v>
      </c>
      <c r="K4" s="487">
        <v>2008</v>
      </c>
      <c r="L4" s="482">
        <v>2009</v>
      </c>
      <c r="M4" s="487">
        <v>2010</v>
      </c>
      <c r="N4" s="482">
        <v>2011</v>
      </c>
      <c r="O4" s="482">
        <v>2012</v>
      </c>
      <c r="P4" s="482" t="s">
        <v>499</v>
      </c>
      <c r="Q4" s="10"/>
      <c r="R4" s="10"/>
      <c r="S4" s="10"/>
      <c r="T4" s="10"/>
      <c r="U4" s="10"/>
    </row>
    <row r="5" spans="1:21" ht="24.75" customHeight="1">
      <c r="A5" s="479"/>
      <c r="B5" s="479"/>
      <c r="C5" s="479"/>
      <c r="D5" s="479"/>
      <c r="E5" s="479"/>
      <c r="F5" s="481"/>
      <c r="G5" s="488"/>
      <c r="H5" s="481"/>
      <c r="I5" s="488"/>
      <c r="J5" s="481"/>
      <c r="K5" s="488"/>
      <c r="L5" s="481"/>
      <c r="M5" s="488"/>
      <c r="N5" s="481"/>
      <c r="O5" s="481"/>
      <c r="P5" s="481"/>
      <c r="Q5" s="10"/>
      <c r="R5" s="10"/>
      <c r="S5" s="10"/>
      <c r="T5" s="10"/>
      <c r="U5" s="10"/>
    </row>
    <row r="6" spans="1:20" s="10" customFormat="1" ht="24.75" customHeight="1">
      <c r="A6" s="84"/>
      <c r="B6" s="84"/>
      <c r="C6" s="84" t="s">
        <v>200</v>
      </c>
      <c r="D6" s="84"/>
      <c r="E6" s="84"/>
      <c r="F6" s="192"/>
      <c r="G6" s="192"/>
      <c r="H6" s="192"/>
      <c r="I6" s="192"/>
      <c r="J6" s="192"/>
      <c r="K6" s="192"/>
      <c r="L6" s="192"/>
      <c r="M6" s="192"/>
      <c r="N6" s="195"/>
      <c r="O6" s="192"/>
      <c r="P6" s="192"/>
      <c r="T6" s="15"/>
    </row>
    <row r="7" spans="1:20" s="10" customFormat="1" ht="24.75" customHeight="1">
      <c r="A7" s="84"/>
      <c r="B7" s="84"/>
      <c r="C7" s="84" t="s">
        <v>446</v>
      </c>
      <c r="D7" s="84"/>
      <c r="E7" s="84"/>
      <c r="F7" s="192"/>
      <c r="G7" s="192"/>
      <c r="H7" s="192"/>
      <c r="I7" s="192"/>
      <c r="J7" s="192"/>
      <c r="K7" s="192"/>
      <c r="L7" s="192"/>
      <c r="M7" s="192"/>
      <c r="N7" s="195"/>
      <c r="O7" s="192"/>
      <c r="P7" s="192"/>
      <c r="T7" s="15"/>
    </row>
    <row r="8" spans="1:20" s="10" customFormat="1" ht="24.75" customHeight="1">
      <c r="A8" s="85"/>
      <c r="B8" s="85"/>
      <c r="C8" s="85"/>
      <c r="D8" s="85" t="s">
        <v>201</v>
      </c>
      <c r="E8" s="85"/>
      <c r="F8" s="267">
        <v>1.15368</v>
      </c>
      <c r="G8" s="267">
        <v>1.70984</v>
      </c>
      <c r="H8" s="267">
        <v>1.9106999999999998</v>
      </c>
      <c r="I8" s="267">
        <v>2.3762200000000004</v>
      </c>
      <c r="J8" s="267">
        <v>2.59952</v>
      </c>
      <c r="K8" s="267">
        <v>2.3732610000000007</v>
      </c>
      <c r="L8" s="267">
        <v>2.7491200000000005</v>
      </c>
      <c r="M8" s="267">
        <v>4.05372</v>
      </c>
      <c r="N8" s="267">
        <v>4.158440000000001</v>
      </c>
      <c r="O8" s="267">
        <v>2.88882</v>
      </c>
      <c r="P8" s="267">
        <v>2.34432</v>
      </c>
      <c r="T8" s="15"/>
    </row>
    <row r="9" spans="1:20" s="10" customFormat="1" ht="24.75" customHeight="1">
      <c r="A9" s="84"/>
      <c r="B9" s="84"/>
      <c r="C9" s="84"/>
      <c r="D9" s="84" t="s">
        <v>459</v>
      </c>
      <c r="E9" s="84"/>
      <c r="F9" s="268">
        <v>0.1397707231092</v>
      </c>
      <c r="G9" s="268">
        <v>0.19400352734400003</v>
      </c>
      <c r="H9" s="268">
        <v>0.3070987654434</v>
      </c>
      <c r="I9" s="268">
        <v>0.2579365079459999</v>
      </c>
      <c r="J9" s="268">
        <v>0.23037918872099997</v>
      </c>
      <c r="K9" s="268">
        <v>0.2495590829016</v>
      </c>
      <c r="L9" s="268">
        <v>0.5489417989619999</v>
      </c>
      <c r="M9" s="268">
        <v>0.6181657848551999</v>
      </c>
      <c r="N9" s="268">
        <v>0.5163139329996</v>
      </c>
      <c r="O9" s="268">
        <v>0.7389921646950376</v>
      </c>
      <c r="P9" s="268">
        <v>0.6681401040073416</v>
      </c>
      <c r="Q9" s="10" t="s">
        <v>515</v>
      </c>
      <c r="T9" s="15"/>
    </row>
    <row r="10" spans="1:20" s="10" customFormat="1" ht="24.75" customHeight="1">
      <c r="A10" s="84"/>
      <c r="B10" s="84" t="s">
        <v>202</v>
      </c>
      <c r="C10" s="79"/>
      <c r="D10" s="79"/>
      <c r="E10" s="79"/>
      <c r="F10" s="268"/>
      <c r="G10" s="268"/>
      <c r="H10" s="268"/>
      <c r="I10" s="268"/>
      <c r="J10" s="268"/>
      <c r="K10" s="268"/>
      <c r="L10" s="268"/>
      <c r="M10" s="268"/>
      <c r="N10" s="296"/>
      <c r="O10" s="296"/>
      <c r="P10" s="296"/>
      <c r="T10" s="15"/>
    </row>
    <row r="11" spans="1:20" s="10" customFormat="1" ht="24.75" customHeight="1">
      <c r="A11" s="75"/>
      <c r="B11" s="75"/>
      <c r="C11" s="75" t="s">
        <v>203</v>
      </c>
      <c r="D11" s="84"/>
      <c r="E11" s="75"/>
      <c r="F11" s="268"/>
      <c r="G11" s="268"/>
      <c r="H11" s="268"/>
      <c r="I11" s="268"/>
      <c r="J11" s="268"/>
      <c r="K11" s="268"/>
      <c r="L11" s="268"/>
      <c r="M11" s="268"/>
      <c r="N11" s="296"/>
      <c r="O11" s="296"/>
      <c r="P11" s="296"/>
      <c r="T11" s="15"/>
    </row>
    <row r="12" spans="1:20" s="10" customFormat="1" ht="24.75" customHeight="1">
      <c r="A12" s="75"/>
      <c r="B12" s="75"/>
      <c r="C12" s="84" t="s">
        <v>34</v>
      </c>
      <c r="D12" s="84"/>
      <c r="E12" s="75"/>
      <c r="F12" s="268"/>
      <c r="G12" s="268"/>
      <c r="H12" s="268"/>
      <c r="I12" s="268"/>
      <c r="J12" s="268"/>
      <c r="K12" s="268"/>
      <c r="L12" s="268"/>
      <c r="M12" s="268"/>
      <c r="N12" s="296"/>
      <c r="O12" s="296"/>
      <c r="P12" s="296"/>
      <c r="T12" s="15"/>
    </row>
    <row r="13" spans="1:20" s="10" customFormat="1" ht="24.75" customHeight="1">
      <c r="A13" s="75"/>
      <c r="B13" s="75"/>
      <c r="C13" s="84"/>
      <c r="D13" s="84" t="s">
        <v>204</v>
      </c>
      <c r="E13" s="75"/>
      <c r="F13" s="268"/>
      <c r="G13" s="268"/>
      <c r="H13" s="268"/>
      <c r="I13" s="268"/>
      <c r="J13" s="268"/>
      <c r="K13" s="268"/>
      <c r="L13" s="268"/>
      <c r="M13" s="268"/>
      <c r="N13" s="296"/>
      <c r="O13" s="296"/>
      <c r="P13" s="296"/>
      <c r="T13" s="15"/>
    </row>
    <row r="14" spans="1:20" s="10" customFormat="1" ht="24.75" customHeight="1">
      <c r="A14" s="85"/>
      <c r="B14" s="70"/>
      <c r="C14" s="85"/>
      <c r="D14" s="70"/>
      <c r="E14" s="70" t="s">
        <v>205</v>
      </c>
      <c r="F14" s="267">
        <v>4</v>
      </c>
      <c r="G14" s="267">
        <v>5.15</v>
      </c>
      <c r="H14" s="267">
        <v>7.15</v>
      </c>
      <c r="I14" s="267">
        <v>8.25</v>
      </c>
      <c r="J14" s="267">
        <v>7.33</v>
      </c>
      <c r="K14" s="267">
        <v>3.61</v>
      </c>
      <c r="L14" s="267">
        <v>3.25</v>
      </c>
      <c r="M14" s="267">
        <v>3.25</v>
      </c>
      <c r="N14" s="267">
        <v>3.25</v>
      </c>
      <c r="O14" s="267">
        <v>3.25</v>
      </c>
      <c r="P14" s="267">
        <v>3.25</v>
      </c>
      <c r="T14" s="15"/>
    </row>
    <row r="15" spans="1:20" s="10" customFormat="1" ht="24.75" customHeight="1">
      <c r="A15" s="84"/>
      <c r="B15" s="75"/>
      <c r="C15" s="84"/>
      <c r="D15" s="75"/>
      <c r="E15" s="75" t="s">
        <v>206</v>
      </c>
      <c r="F15" s="268">
        <v>1.24</v>
      </c>
      <c r="G15" s="268">
        <v>2.71</v>
      </c>
      <c r="H15" s="268">
        <v>4.67</v>
      </c>
      <c r="I15" s="268">
        <v>5.35</v>
      </c>
      <c r="J15" s="268">
        <v>4.83</v>
      </c>
      <c r="K15" s="268">
        <v>2.18</v>
      </c>
      <c r="L15" s="268">
        <v>0.45</v>
      </c>
      <c r="M15" s="268">
        <v>0.46</v>
      </c>
      <c r="N15" s="268">
        <v>0.78</v>
      </c>
      <c r="O15" s="268">
        <v>0.51</v>
      </c>
      <c r="P15" s="268">
        <v>0.35</v>
      </c>
      <c r="T15" s="15"/>
    </row>
    <row r="16" spans="1:20" s="10" customFormat="1" ht="24.75" customHeight="1">
      <c r="A16" s="75"/>
      <c r="B16" s="75"/>
      <c r="C16" s="75" t="s">
        <v>207</v>
      </c>
      <c r="D16" s="84"/>
      <c r="E16" s="75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T16" s="15"/>
    </row>
    <row r="17" spans="1:20" s="10" customFormat="1" ht="24.75" customHeight="1">
      <c r="A17" s="75"/>
      <c r="B17" s="75"/>
      <c r="C17" s="84" t="s">
        <v>34</v>
      </c>
      <c r="D17" s="84"/>
      <c r="E17" s="75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T17" s="15"/>
    </row>
    <row r="18" spans="1:20" s="10" customFormat="1" ht="24.75" customHeight="1">
      <c r="A18" s="75"/>
      <c r="B18" s="75"/>
      <c r="C18" s="75"/>
      <c r="D18" s="75" t="s">
        <v>208</v>
      </c>
      <c r="E18" s="75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T18" s="15"/>
    </row>
    <row r="19" spans="1:20" s="10" customFormat="1" ht="24.75" customHeight="1">
      <c r="A19" s="85"/>
      <c r="B19" s="70"/>
      <c r="C19" s="85"/>
      <c r="D19" s="85"/>
      <c r="E19" s="70" t="s">
        <v>209</v>
      </c>
      <c r="F19" s="267">
        <v>2.42</v>
      </c>
      <c r="G19" s="267">
        <v>3.11</v>
      </c>
      <c r="H19" s="267">
        <v>3.41</v>
      </c>
      <c r="I19" s="267">
        <v>3.29</v>
      </c>
      <c r="J19" s="267">
        <v>3.06</v>
      </c>
      <c r="K19" s="267">
        <v>3.04</v>
      </c>
      <c r="L19" s="267">
        <v>1.3</v>
      </c>
      <c r="M19" s="267">
        <v>0.96</v>
      </c>
      <c r="N19" s="267">
        <v>0.97</v>
      </c>
      <c r="O19" s="267">
        <v>1.42</v>
      </c>
      <c r="P19" s="267">
        <v>1.15</v>
      </c>
      <c r="Q19" s="10" t="s">
        <v>519</v>
      </c>
      <c r="T19" s="15"/>
    </row>
    <row r="20" spans="1:20" s="10" customFormat="1" ht="24.75" customHeight="1">
      <c r="A20" s="84"/>
      <c r="B20" s="75"/>
      <c r="C20" s="84"/>
      <c r="D20" s="84"/>
      <c r="E20" s="75" t="s">
        <v>210</v>
      </c>
      <c r="F20" s="268">
        <v>2.79</v>
      </c>
      <c r="G20" s="268">
        <v>4.01</v>
      </c>
      <c r="H20" s="268">
        <v>3.45</v>
      </c>
      <c r="I20" s="268">
        <v>3.02</v>
      </c>
      <c r="J20" s="268">
        <v>3.07</v>
      </c>
      <c r="K20" s="268">
        <v>3.19</v>
      </c>
      <c r="L20" s="268">
        <v>3.02</v>
      </c>
      <c r="M20" s="268">
        <v>2.76</v>
      </c>
      <c r="N20" s="268">
        <v>2.78</v>
      </c>
      <c r="O20" s="268">
        <v>2.77</v>
      </c>
      <c r="P20" s="268">
        <v>2.35</v>
      </c>
      <c r="Q20" s="10" t="s">
        <v>519</v>
      </c>
      <c r="T20" s="15"/>
    </row>
    <row r="21" spans="1:20" s="10" customFormat="1" ht="24.75" customHeight="1">
      <c r="A21" s="85"/>
      <c r="B21" s="70"/>
      <c r="C21" s="85"/>
      <c r="D21" s="85"/>
      <c r="E21" s="70" t="s">
        <v>211</v>
      </c>
      <c r="F21" s="267">
        <v>2.97</v>
      </c>
      <c r="G21" s="267">
        <v>3.96</v>
      </c>
      <c r="H21" s="267">
        <v>3.38</v>
      </c>
      <c r="I21" s="267">
        <v>3.07</v>
      </c>
      <c r="J21" s="267">
        <v>3.27</v>
      </c>
      <c r="K21" s="267">
        <v>3.37</v>
      </c>
      <c r="L21" s="267">
        <v>3.2</v>
      </c>
      <c r="M21" s="267">
        <v>2.95</v>
      </c>
      <c r="N21" s="267">
        <v>2.88</v>
      </c>
      <c r="O21" s="267">
        <v>2.72</v>
      </c>
      <c r="P21" s="267">
        <v>2.46</v>
      </c>
      <c r="Q21" s="10" t="s">
        <v>519</v>
      </c>
      <c r="T21" s="15"/>
    </row>
    <row r="22" spans="1:20" s="10" customFormat="1" ht="24.75" customHeight="1">
      <c r="A22" s="75"/>
      <c r="B22" s="84"/>
      <c r="C22" s="75"/>
      <c r="D22" s="75" t="s">
        <v>212</v>
      </c>
      <c r="E22" s="75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10" t="s">
        <v>519</v>
      </c>
      <c r="T22" s="15"/>
    </row>
    <row r="23" spans="1:20" s="10" customFormat="1" ht="24.75" customHeight="1">
      <c r="A23" s="84"/>
      <c r="B23" s="75"/>
      <c r="C23" s="84"/>
      <c r="D23" s="84"/>
      <c r="E23" s="75" t="s">
        <v>213</v>
      </c>
      <c r="F23" s="268">
        <v>2.43</v>
      </c>
      <c r="G23" s="268">
        <v>3.31</v>
      </c>
      <c r="H23" s="268">
        <v>3.02</v>
      </c>
      <c r="I23" s="268">
        <v>2.53</v>
      </c>
      <c r="J23" s="268">
        <v>2.87</v>
      </c>
      <c r="K23" s="268">
        <v>2.95</v>
      </c>
      <c r="L23" s="268">
        <v>1.8</v>
      </c>
      <c r="M23" s="268">
        <v>1.72</v>
      </c>
      <c r="N23" s="268">
        <v>1.69</v>
      </c>
      <c r="O23" s="268">
        <v>1.67</v>
      </c>
      <c r="P23" s="268">
        <v>1.22</v>
      </c>
      <c r="Q23" s="10" t="s">
        <v>519</v>
      </c>
      <c r="T23" s="15"/>
    </row>
    <row r="24" spans="1:20" s="10" customFormat="1" ht="24.75" customHeight="1">
      <c r="A24" s="85"/>
      <c r="B24" s="70"/>
      <c r="C24" s="85"/>
      <c r="D24" s="85"/>
      <c r="E24" s="70" t="s">
        <v>214</v>
      </c>
      <c r="F24" s="267">
        <v>2.63</v>
      </c>
      <c r="G24" s="267">
        <v>3.87</v>
      </c>
      <c r="H24" s="267">
        <v>3.6</v>
      </c>
      <c r="I24" s="267">
        <v>2.96</v>
      </c>
      <c r="J24" s="267">
        <v>3.13</v>
      </c>
      <c r="K24" s="267">
        <v>3.47</v>
      </c>
      <c r="L24" s="267">
        <v>2.52</v>
      </c>
      <c r="M24" s="267">
        <v>2.49</v>
      </c>
      <c r="N24" s="267">
        <v>2.44</v>
      </c>
      <c r="O24" s="267">
        <v>2.35</v>
      </c>
      <c r="P24" s="267">
        <v>1.72</v>
      </c>
      <c r="Q24" s="10" t="s">
        <v>519</v>
      </c>
      <c r="T24" s="15"/>
    </row>
    <row r="25" spans="1:20" s="10" customFormat="1" ht="24.75" customHeight="1">
      <c r="A25" s="84"/>
      <c r="B25" s="75"/>
      <c r="C25" s="84"/>
      <c r="D25" s="84"/>
      <c r="E25" s="75" t="s">
        <v>215</v>
      </c>
      <c r="F25" s="268">
        <v>2.75</v>
      </c>
      <c r="G25" s="268">
        <v>3.88</v>
      </c>
      <c r="H25" s="268">
        <v>3.71</v>
      </c>
      <c r="I25" s="268">
        <v>3.02</v>
      </c>
      <c r="J25" s="268">
        <v>3.17</v>
      </c>
      <c r="K25" s="268">
        <v>3.49</v>
      </c>
      <c r="L25" s="268">
        <v>2.51</v>
      </c>
      <c r="M25" s="268">
        <v>2.45</v>
      </c>
      <c r="N25" s="268">
        <v>2.44</v>
      </c>
      <c r="O25" s="268">
        <v>2.4</v>
      </c>
      <c r="P25" s="268">
        <v>1.89</v>
      </c>
      <c r="Q25" s="10" t="s">
        <v>519</v>
      </c>
      <c r="T25" s="15"/>
    </row>
    <row r="26" spans="1:20" s="10" customFormat="1" ht="24.75" customHeight="1">
      <c r="A26" s="70"/>
      <c r="B26" s="70"/>
      <c r="C26" s="70"/>
      <c r="D26" s="70" t="s">
        <v>216</v>
      </c>
      <c r="E26" s="70"/>
      <c r="F26" s="267">
        <v>6.06</v>
      </c>
      <c r="G26" s="267">
        <v>8.5</v>
      </c>
      <c r="H26" s="267">
        <v>8.22</v>
      </c>
      <c r="I26" s="267">
        <v>7.04</v>
      </c>
      <c r="J26" s="267">
        <v>7.44</v>
      </c>
      <c r="K26" s="267">
        <v>8.02</v>
      </c>
      <c r="L26" s="267">
        <v>4.5</v>
      </c>
      <c r="M26" s="267">
        <v>4.43</v>
      </c>
      <c r="N26" s="267">
        <v>4.3</v>
      </c>
      <c r="O26" s="267">
        <v>3.91</v>
      </c>
      <c r="P26" s="267">
        <v>3.16</v>
      </c>
      <c r="Q26" s="10">
        <v>15</v>
      </c>
      <c r="T26" s="15"/>
    </row>
    <row r="27" spans="1:20" s="10" customFormat="1" ht="24.75" customHeight="1">
      <c r="A27" s="75"/>
      <c r="B27" s="75"/>
      <c r="C27" s="75"/>
      <c r="D27" s="466" t="s">
        <v>464</v>
      </c>
      <c r="E27" s="466"/>
      <c r="F27" s="268">
        <v>6.51</v>
      </c>
      <c r="G27" s="268">
        <v>9</v>
      </c>
      <c r="H27" s="268">
        <v>9.64</v>
      </c>
      <c r="I27" s="268">
        <v>7.43</v>
      </c>
      <c r="J27" s="268">
        <v>7.65</v>
      </c>
      <c r="K27" s="268">
        <v>10.2</v>
      </c>
      <c r="L27" s="268">
        <v>5.02</v>
      </c>
      <c r="M27" s="268">
        <v>5.02</v>
      </c>
      <c r="N27" s="268">
        <v>4.68</v>
      </c>
      <c r="O27" s="268">
        <v>4.64</v>
      </c>
      <c r="P27" s="268">
        <v>4.64</v>
      </c>
      <c r="Q27" s="10" t="s">
        <v>519</v>
      </c>
      <c r="T27" s="15"/>
    </row>
    <row r="28" spans="1:20" s="10" customFormat="1" ht="24.75" customHeight="1">
      <c r="A28" s="70"/>
      <c r="B28" s="70"/>
      <c r="C28" s="70"/>
      <c r="D28" s="70" t="s">
        <v>217</v>
      </c>
      <c r="E28" s="70"/>
      <c r="F28" s="267">
        <v>3.91</v>
      </c>
      <c r="G28" s="267">
        <v>5.84</v>
      </c>
      <c r="H28" s="267">
        <v>5.89</v>
      </c>
      <c r="I28" s="267">
        <v>4.82</v>
      </c>
      <c r="J28" s="267">
        <v>5.13</v>
      </c>
      <c r="K28" s="267">
        <v>6.02</v>
      </c>
      <c r="L28" s="267">
        <v>3.42</v>
      </c>
      <c r="M28" s="267">
        <v>3.28</v>
      </c>
      <c r="N28" s="267">
        <v>3.26</v>
      </c>
      <c r="O28" s="267">
        <v>3.25</v>
      </c>
      <c r="P28" s="267">
        <v>2.64</v>
      </c>
      <c r="T28" s="15"/>
    </row>
    <row r="29" spans="1:20" s="10" customFormat="1" ht="24.75" customHeight="1">
      <c r="A29" s="84"/>
      <c r="B29" s="84"/>
      <c r="C29" s="84"/>
      <c r="D29" s="466" t="s">
        <v>218</v>
      </c>
      <c r="E29" s="466"/>
      <c r="F29" s="268">
        <v>6.2889</v>
      </c>
      <c r="G29" s="268">
        <v>8.95</v>
      </c>
      <c r="H29" s="268">
        <v>8.565</v>
      </c>
      <c r="I29" s="268">
        <v>7.3675</v>
      </c>
      <c r="J29" s="268">
        <v>7.925</v>
      </c>
      <c r="K29" s="268">
        <v>8.6886</v>
      </c>
      <c r="L29" s="268">
        <v>4.915</v>
      </c>
      <c r="M29" s="268">
        <v>4.875</v>
      </c>
      <c r="N29" s="268">
        <v>4.79</v>
      </c>
      <c r="O29" s="268">
        <v>4.845</v>
      </c>
      <c r="P29" s="268">
        <v>3.79</v>
      </c>
      <c r="Q29" s="10" t="s">
        <v>518</v>
      </c>
      <c r="T29" s="15"/>
    </row>
    <row r="30" spans="1:20" s="10" customFormat="1" ht="24.75" customHeight="1">
      <c r="A30" s="84"/>
      <c r="B30" s="84" t="s">
        <v>219</v>
      </c>
      <c r="C30" s="79"/>
      <c r="D30" s="79"/>
      <c r="E30" s="79"/>
      <c r="F30" s="193"/>
      <c r="G30" s="193"/>
      <c r="H30" s="193"/>
      <c r="I30" s="193"/>
      <c r="J30" s="193"/>
      <c r="K30" s="193"/>
      <c r="L30" s="193"/>
      <c r="M30" s="193"/>
      <c r="N30" s="195"/>
      <c r="O30" s="195"/>
      <c r="P30" s="195"/>
      <c r="T30" s="15"/>
    </row>
    <row r="31" spans="1:20" s="10" customFormat="1" ht="24.75" customHeight="1">
      <c r="A31" s="84"/>
      <c r="B31" s="84"/>
      <c r="C31" s="84" t="s">
        <v>382</v>
      </c>
      <c r="D31" s="84"/>
      <c r="E31" s="84"/>
      <c r="F31" s="193"/>
      <c r="G31" s="193"/>
      <c r="H31" s="193"/>
      <c r="I31" s="193"/>
      <c r="J31" s="193"/>
      <c r="K31" s="193"/>
      <c r="L31" s="193"/>
      <c r="M31" s="193"/>
      <c r="N31" s="195"/>
      <c r="O31" s="195"/>
      <c r="P31" s="195"/>
      <c r="T31" s="15"/>
    </row>
    <row r="32" spans="1:20" s="10" customFormat="1" ht="24.75" customHeight="1">
      <c r="A32" s="84"/>
      <c r="B32" s="84"/>
      <c r="C32" s="84" t="s">
        <v>34</v>
      </c>
      <c r="D32" s="84"/>
      <c r="E32" s="84"/>
      <c r="F32" s="193"/>
      <c r="G32" s="193"/>
      <c r="H32" s="193"/>
      <c r="I32" s="193"/>
      <c r="J32" s="193"/>
      <c r="K32" s="193"/>
      <c r="L32" s="193"/>
      <c r="M32" s="193"/>
      <c r="N32" s="195"/>
      <c r="O32" s="195"/>
      <c r="P32" s="195"/>
      <c r="T32" s="15"/>
    </row>
    <row r="33" spans="1:20" s="10" customFormat="1" ht="24.75" customHeight="1">
      <c r="A33" s="85"/>
      <c r="B33" s="85"/>
      <c r="C33" s="85"/>
      <c r="D33" s="85" t="s">
        <v>220</v>
      </c>
      <c r="E33" s="85"/>
      <c r="F33" s="267">
        <v>1.08</v>
      </c>
      <c r="G33" s="267">
        <v>2.36</v>
      </c>
      <c r="H33" s="267">
        <v>4.34</v>
      </c>
      <c r="I33" s="267">
        <v>5.33</v>
      </c>
      <c r="J33" s="267">
        <v>4.57</v>
      </c>
      <c r="K33" s="267">
        <v>0.52</v>
      </c>
      <c r="L33" s="267">
        <v>0.22</v>
      </c>
      <c r="M33" s="267">
        <v>0.23</v>
      </c>
      <c r="N33" s="267">
        <v>0.31</v>
      </c>
      <c r="O33" s="267">
        <v>0.16</v>
      </c>
      <c r="P33" s="267">
        <v>0.15</v>
      </c>
      <c r="Q33" s="10" t="s">
        <v>514</v>
      </c>
      <c r="T33" s="15"/>
    </row>
    <row r="34" spans="1:20" s="10" customFormat="1" ht="24.75" customHeight="1">
      <c r="A34" s="84"/>
      <c r="B34" s="84"/>
      <c r="C34" s="84"/>
      <c r="D34" s="84" t="s">
        <v>221</v>
      </c>
      <c r="E34" s="84"/>
      <c r="F34" s="268">
        <v>1.07</v>
      </c>
      <c r="G34" s="268">
        <v>2.35</v>
      </c>
      <c r="H34" s="268">
        <v>4.33</v>
      </c>
      <c r="I34" s="268">
        <v>5.3</v>
      </c>
      <c r="J34" s="268">
        <v>4.54</v>
      </c>
      <c r="K34" s="268">
        <v>0.5</v>
      </c>
      <c r="L34" s="268">
        <v>0.1</v>
      </c>
      <c r="M34" s="268">
        <v>0.11</v>
      </c>
      <c r="N34" s="268">
        <v>0.19</v>
      </c>
      <c r="O34" s="268">
        <v>0.18</v>
      </c>
      <c r="P34" s="268">
        <v>0.15</v>
      </c>
      <c r="Q34" s="10" t="s">
        <v>514</v>
      </c>
      <c r="T34" s="15"/>
    </row>
    <row r="35" spans="1:20" s="10" customFormat="1" ht="24.75" customHeight="1">
      <c r="A35" s="85"/>
      <c r="B35" s="85"/>
      <c r="C35" s="85"/>
      <c r="D35" s="85" t="s">
        <v>222</v>
      </c>
      <c r="E35" s="85"/>
      <c r="F35" s="267">
        <v>0.9</v>
      </c>
      <c r="G35" s="267">
        <v>2.19</v>
      </c>
      <c r="H35" s="267">
        <v>3.89</v>
      </c>
      <c r="I35" s="267">
        <v>4.85</v>
      </c>
      <c r="J35" s="267">
        <v>3</v>
      </c>
      <c r="K35" s="267">
        <v>0.03</v>
      </c>
      <c r="L35" s="267">
        <v>0.05</v>
      </c>
      <c r="M35" s="267">
        <v>0.14</v>
      </c>
      <c r="N35" s="267">
        <v>0.01</v>
      </c>
      <c r="O35" s="267">
        <v>0.07</v>
      </c>
      <c r="P35" s="267">
        <v>0.07</v>
      </c>
      <c r="Q35" s="10" t="s">
        <v>519</v>
      </c>
      <c r="T35" s="15"/>
    </row>
    <row r="36" spans="1:20" s="10" customFormat="1" ht="24.75" customHeight="1">
      <c r="A36" s="84"/>
      <c r="B36" s="84"/>
      <c r="C36" s="84"/>
      <c r="D36" s="466" t="s">
        <v>223</v>
      </c>
      <c r="E36" s="466"/>
      <c r="F36" s="268">
        <v>1</v>
      </c>
      <c r="G36" s="268">
        <v>2.27</v>
      </c>
      <c r="H36" s="268">
        <v>4.26</v>
      </c>
      <c r="I36" s="268">
        <v>5.25</v>
      </c>
      <c r="J36" s="268">
        <v>4.78</v>
      </c>
      <c r="K36" s="268">
        <v>0.43</v>
      </c>
      <c r="L36" s="268">
        <v>0.2</v>
      </c>
      <c r="M36" s="268">
        <v>0.25</v>
      </c>
      <c r="N36" s="268">
        <v>0.13</v>
      </c>
      <c r="O36" s="268">
        <v>0.2</v>
      </c>
      <c r="P36" s="268">
        <v>0.08</v>
      </c>
      <c r="Q36" s="10" t="s">
        <v>514</v>
      </c>
      <c r="T36" s="15"/>
    </row>
    <row r="37" spans="1:20" s="10" customFormat="1" ht="24.75" customHeight="1">
      <c r="A37" s="75"/>
      <c r="B37" s="75"/>
      <c r="C37" s="75" t="s">
        <v>224</v>
      </c>
      <c r="D37" s="84"/>
      <c r="E37" s="75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T37" s="15"/>
    </row>
    <row r="38" spans="1:20" s="10" customFormat="1" ht="24.75" customHeight="1">
      <c r="A38" s="75"/>
      <c r="B38" s="75"/>
      <c r="C38" s="75" t="s">
        <v>40</v>
      </c>
      <c r="D38" s="84"/>
      <c r="E38" s="75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T38" s="15"/>
    </row>
    <row r="39" spans="1:20" s="10" customFormat="1" ht="24.75" customHeight="1">
      <c r="A39" s="85"/>
      <c r="B39" s="70"/>
      <c r="C39" s="70"/>
      <c r="D39" s="70" t="s">
        <v>225</v>
      </c>
      <c r="E39" s="70"/>
      <c r="F39" s="267">
        <v>10425.04</v>
      </c>
      <c r="G39" s="267">
        <v>10800.3</v>
      </c>
      <c r="H39" s="267">
        <v>10784.82</v>
      </c>
      <c r="I39" s="267">
        <v>12501.52</v>
      </c>
      <c r="J39" s="267">
        <v>13264.82</v>
      </c>
      <c r="K39" s="267">
        <v>8668.39</v>
      </c>
      <c r="L39" s="267">
        <v>10548.51</v>
      </c>
      <c r="M39" s="267">
        <v>11569.71</v>
      </c>
      <c r="N39" s="267">
        <v>12287.04</v>
      </c>
      <c r="O39" s="267">
        <v>12938.11</v>
      </c>
      <c r="P39" s="267">
        <v>16504.29</v>
      </c>
      <c r="Q39" s="10" t="s">
        <v>516</v>
      </c>
      <c r="S39" s="10">
        <f>12938.1*0.16</f>
        <v>2070.096</v>
      </c>
      <c r="T39" s="15"/>
    </row>
    <row r="40" spans="1:20" s="10" customFormat="1" ht="24.75" customHeight="1">
      <c r="A40" s="84"/>
      <c r="B40" s="75"/>
      <c r="C40" s="75"/>
      <c r="D40" s="75" t="s">
        <v>226</v>
      </c>
      <c r="E40" s="75"/>
      <c r="F40" s="268">
        <v>4470.4</v>
      </c>
      <c r="G40" s="268">
        <v>4820.1</v>
      </c>
      <c r="H40" s="268">
        <v>5638.3</v>
      </c>
      <c r="I40" s="268">
        <v>6240.9</v>
      </c>
      <c r="J40" s="268">
        <v>6456.9</v>
      </c>
      <c r="K40" s="268">
        <v>4392.2</v>
      </c>
      <c r="L40" s="268">
        <v>5397.86</v>
      </c>
      <c r="M40" s="268">
        <v>5971.01</v>
      </c>
      <c r="N40" s="268">
        <v>5566.77</v>
      </c>
      <c r="O40" s="268">
        <v>5925.37</v>
      </c>
      <c r="P40" s="268">
        <v>6731.27</v>
      </c>
      <c r="Q40" s="10" t="s">
        <v>516</v>
      </c>
      <c r="T40" s="15"/>
    </row>
    <row r="41" spans="1:20" s="10" customFormat="1" ht="24.75" customHeight="1">
      <c r="A41" s="85"/>
      <c r="B41" s="70"/>
      <c r="C41" s="70"/>
      <c r="D41" s="70" t="s">
        <v>227</v>
      </c>
      <c r="E41" s="70"/>
      <c r="F41" s="267">
        <v>3965.16</v>
      </c>
      <c r="G41" s="267">
        <v>4256.08</v>
      </c>
      <c r="H41" s="267">
        <v>5458.58</v>
      </c>
      <c r="I41" s="267">
        <v>6611.81</v>
      </c>
      <c r="J41" s="267">
        <v>8067.32</v>
      </c>
      <c r="K41" s="267">
        <v>4810.2</v>
      </c>
      <c r="L41" s="267">
        <v>5957.43</v>
      </c>
      <c r="M41" s="267">
        <v>6914.19</v>
      </c>
      <c r="N41" s="267">
        <v>5848.78</v>
      </c>
      <c r="O41" s="267">
        <v>7612.39</v>
      </c>
      <c r="P41" s="267">
        <v>9552.16</v>
      </c>
      <c r="Q41" s="10" t="s">
        <v>516</v>
      </c>
      <c r="T41" s="15"/>
    </row>
    <row r="42" spans="1:20" s="10" customFormat="1" ht="24.75" customHeight="1">
      <c r="A42" s="84"/>
      <c r="B42" s="75"/>
      <c r="C42" s="75"/>
      <c r="D42" s="75" t="s">
        <v>228</v>
      </c>
      <c r="E42" s="75"/>
      <c r="F42" s="268">
        <v>7737.2</v>
      </c>
      <c r="G42" s="268">
        <v>9080.8</v>
      </c>
      <c r="H42" s="268">
        <v>10778.1</v>
      </c>
      <c r="I42" s="268">
        <v>14160.8</v>
      </c>
      <c r="J42" s="268">
        <v>15182.3</v>
      </c>
      <c r="K42" s="268">
        <v>9195.8</v>
      </c>
      <c r="L42" s="268">
        <v>11940</v>
      </c>
      <c r="M42" s="268">
        <v>9859.1</v>
      </c>
      <c r="N42" s="268">
        <v>8487.9</v>
      </c>
      <c r="O42" s="268">
        <v>8131</v>
      </c>
      <c r="P42" s="268">
        <v>9901.9</v>
      </c>
      <c r="Q42" s="10" t="s">
        <v>516</v>
      </c>
      <c r="T42" s="15"/>
    </row>
    <row r="43" spans="1:20" s="10" customFormat="1" ht="24.75" customHeight="1">
      <c r="A43" s="85"/>
      <c r="B43" s="70"/>
      <c r="C43" s="70"/>
      <c r="D43" s="70" t="s">
        <v>229</v>
      </c>
      <c r="E43" s="70"/>
      <c r="F43" s="267">
        <v>10676.64</v>
      </c>
      <c r="G43" s="267">
        <v>11488.76</v>
      </c>
      <c r="H43" s="267">
        <v>16344.2</v>
      </c>
      <c r="I43" s="267">
        <v>17224.81</v>
      </c>
      <c r="J43" s="267">
        <v>15307.78</v>
      </c>
      <c r="K43" s="267">
        <v>8859.56</v>
      </c>
      <c r="L43" s="267">
        <v>10546.44</v>
      </c>
      <c r="M43" s="267">
        <v>10228.92</v>
      </c>
      <c r="N43" s="267">
        <v>8398.89</v>
      </c>
      <c r="O43" s="267">
        <v>10395.18</v>
      </c>
      <c r="P43" s="267">
        <v>16291.31</v>
      </c>
      <c r="Q43" s="10" t="s">
        <v>514</v>
      </c>
      <c r="T43" s="15"/>
    </row>
    <row r="44" spans="1:20" s="10" customFormat="1" ht="24.75" customHeight="1">
      <c r="A44" s="75"/>
      <c r="B44" s="75"/>
      <c r="C44" s="75" t="s">
        <v>671</v>
      </c>
      <c r="D44" s="84"/>
      <c r="E44" s="75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T44" s="15"/>
    </row>
    <row r="45" spans="1:20" s="10" customFormat="1" ht="24.75" customHeight="1">
      <c r="A45" s="84"/>
      <c r="B45" s="75"/>
      <c r="C45" s="75"/>
      <c r="D45" s="75" t="s">
        <v>230</v>
      </c>
      <c r="E45" s="75"/>
      <c r="F45" s="268">
        <v>8795.28</v>
      </c>
      <c r="G45" s="268">
        <v>12917.88</v>
      </c>
      <c r="H45" s="268">
        <v>17802.71</v>
      </c>
      <c r="I45" s="268">
        <v>26448.32</v>
      </c>
      <c r="J45" s="268">
        <v>29536.83</v>
      </c>
      <c r="K45" s="268">
        <v>22380.32</v>
      </c>
      <c r="L45" s="268">
        <v>32120.47</v>
      </c>
      <c r="M45" s="268">
        <v>38550.79</v>
      </c>
      <c r="N45" s="268">
        <v>37077.52</v>
      </c>
      <c r="O45" s="268">
        <v>43705.83</v>
      </c>
      <c r="P45" s="268">
        <v>42727.09</v>
      </c>
      <c r="Q45" s="10" t="s">
        <v>520</v>
      </c>
      <c r="T45" s="15"/>
    </row>
    <row r="46" spans="1:20" s="10" customFormat="1" ht="24.75" customHeight="1">
      <c r="A46" s="85"/>
      <c r="B46" s="70"/>
      <c r="C46" s="70"/>
      <c r="D46" s="70" t="s">
        <v>231</v>
      </c>
      <c r="E46" s="70"/>
      <c r="F46" s="267">
        <v>157</v>
      </c>
      <c r="G46" s="267">
        <v>152</v>
      </c>
      <c r="H46" s="267">
        <v>137</v>
      </c>
      <c r="I46" s="267">
        <v>131</v>
      </c>
      <c r="J46" s="267">
        <v>131</v>
      </c>
      <c r="K46" s="267">
        <v>130</v>
      </c>
      <c r="L46" s="267">
        <v>130</v>
      </c>
      <c r="M46" s="267">
        <v>136</v>
      </c>
      <c r="N46" s="267">
        <v>137</v>
      </c>
      <c r="O46" s="267">
        <v>143</v>
      </c>
      <c r="P46" s="267">
        <v>144</v>
      </c>
      <c r="Q46" s="10" t="s">
        <v>521</v>
      </c>
      <c r="T46" s="15"/>
    </row>
    <row r="47" spans="1:20" s="10" customFormat="1" ht="24.75" customHeight="1">
      <c r="A47" s="84"/>
      <c r="B47" s="75"/>
      <c r="C47" s="75"/>
      <c r="D47" s="75" t="s">
        <v>232</v>
      </c>
      <c r="E47" s="75"/>
      <c r="F47" s="268">
        <v>23995.8</v>
      </c>
      <c r="G47" s="268">
        <v>17338.9</v>
      </c>
      <c r="H47" s="268">
        <v>50875.8</v>
      </c>
      <c r="I47" s="268">
        <v>58764.2</v>
      </c>
      <c r="J47" s="268">
        <v>54313</v>
      </c>
      <c r="K47" s="268">
        <v>81423.89</v>
      </c>
      <c r="L47" s="268">
        <v>88318.35</v>
      </c>
      <c r="M47" s="268">
        <v>111767.69</v>
      </c>
      <c r="N47" s="268">
        <v>169555.6</v>
      </c>
      <c r="O47" s="268">
        <v>98340.69</v>
      </c>
      <c r="P47" s="268">
        <v>147036.13</v>
      </c>
      <c r="Q47" s="10" t="s">
        <v>520</v>
      </c>
      <c r="T47" s="15"/>
    </row>
    <row r="48" spans="1:17" ht="24.75" customHeight="1">
      <c r="A48" s="122" t="s">
        <v>233</v>
      </c>
      <c r="B48" s="75"/>
      <c r="C48" s="75"/>
      <c r="D48" s="75"/>
      <c r="E48" s="75"/>
      <c r="F48" s="194"/>
      <c r="G48" s="194"/>
      <c r="H48" s="194"/>
      <c r="I48" s="194"/>
      <c r="J48" s="194"/>
      <c r="K48" s="194"/>
      <c r="L48" s="194"/>
      <c r="M48" s="194"/>
      <c r="N48" s="196"/>
      <c r="O48" s="196"/>
      <c r="P48" s="196"/>
      <c r="Q48" s="8"/>
    </row>
    <row r="49" spans="1:20" s="10" customFormat="1" ht="24.75" customHeight="1">
      <c r="A49" s="75"/>
      <c r="B49" s="75" t="s">
        <v>234</v>
      </c>
      <c r="C49" s="84"/>
      <c r="D49" s="84"/>
      <c r="E49" s="75"/>
      <c r="F49" s="193"/>
      <c r="G49" s="193"/>
      <c r="H49" s="193"/>
      <c r="I49" s="193"/>
      <c r="J49" s="193"/>
      <c r="K49" s="193"/>
      <c r="L49" s="193"/>
      <c r="M49" s="193"/>
      <c r="N49" s="195"/>
      <c r="O49" s="196"/>
      <c r="P49" s="195"/>
      <c r="T49" s="15"/>
    </row>
    <row r="50" spans="1:20" s="10" customFormat="1" ht="24.75" customHeight="1">
      <c r="A50" s="75"/>
      <c r="B50" s="75" t="s">
        <v>29</v>
      </c>
      <c r="C50" s="84"/>
      <c r="D50" s="84"/>
      <c r="E50" s="75"/>
      <c r="F50" s="193"/>
      <c r="G50" s="193"/>
      <c r="H50" s="193"/>
      <c r="I50" s="193"/>
      <c r="J50" s="193"/>
      <c r="K50" s="193"/>
      <c r="L50" s="193"/>
      <c r="M50" s="193"/>
      <c r="N50" s="195"/>
      <c r="O50" s="195"/>
      <c r="P50" s="195"/>
      <c r="T50" s="15"/>
    </row>
    <row r="51" spans="1:20" s="10" customFormat="1" ht="24.75" customHeight="1">
      <c r="A51" s="85"/>
      <c r="B51" s="70"/>
      <c r="C51" s="70" t="s">
        <v>20</v>
      </c>
      <c r="D51" s="70"/>
      <c r="E51" s="70"/>
      <c r="F51" s="267">
        <v>857700</v>
      </c>
      <c r="G51" s="267">
        <v>946600</v>
      </c>
      <c r="H51" s="267">
        <v>1068500</v>
      </c>
      <c r="I51" s="267">
        <v>1218500</v>
      </c>
      <c r="J51" s="267">
        <v>1350100</v>
      </c>
      <c r="K51" s="267">
        <v>1482900</v>
      </c>
      <c r="L51" s="267">
        <v>1614600</v>
      </c>
      <c r="M51" s="267">
        <f>1833.3*1000</f>
        <v>1833300</v>
      </c>
      <c r="N51" s="267">
        <f>2083.1*1000</f>
        <v>2083100</v>
      </c>
      <c r="O51" s="267">
        <f>2279.9*1000</f>
        <v>2279900</v>
      </c>
      <c r="P51" s="267">
        <v>2513757.8306</v>
      </c>
      <c r="Q51" s="10" t="s">
        <v>513</v>
      </c>
      <c r="T51" s="15"/>
    </row>
    <row r="52" spans="1:20" s="10" customFormat="1" ht="24.75" customHeight="1">
      <c r="A52" s="84"/>
      <c r="B52" s="75"/>
      <c r="C52" s="75" t="s">
        <v>21</v>
      </c>
      <c r="D52" s="75"/>
      <c r="E52" s="75"/>
      <c r="F52" s="268">
        <f>3458.4*1000</f>
        <v>3458400</v>
      </c>
      <c r="G52" s="268">
        <v>3800700</v>
      </c>
      <c r="H52" s="268">
        <v>4366100</v>
      </c>
      <c r="I52" s="268">
        <v>4972300</v>
      </c>
      <c r="J52" s="268">
        <v>5384900</v>
      </c>
      <c r="K52" s="268">
        <f>6269.9*1000</f>
        <v>6269900</v>
      </c>
      <c r="L52" s="268">
        <f>6672.3*1000</f>
        <v>6672300</v>
      </c>
      <c r="M52" s="268">
        <f>7207.4*1000</f>
        <v>7207400</v>
      </c>
      <c r="N52" s="268">
        <v>8065500</v>
      </c>
      <c r="O52" s="268">
        <f>8732.6*1000</f>
        <v>8732600</v>
      </c>
      <c r="P52" s="268">
        <v>9507202.9033</v>
      </c>
      <c r="Q52" s="10" t="s">
        <v>513</v>
      </c>
      <c r="T52" s="15"/>
    </row>
    <row r="53" spans="1:20" s="10" customFormat="1" ht="24.75" customHeight="1">
      <c r="A53" s="85"/>
      <c r="B53" s="70"/>
      <c r="C53" s="70" t="s">
        <v>22</v>
      </c>
      <c r="D53" s="70"/>
      <c r="E53" s="70"/>
      <c r="F53" s="267">
        <v>3492200</v>
      </c>
      <c r="G53" s="267">
        <v>3889800</v>
      </c>
      <c r="H53" s="267">
        <v>4503800</v>
      </c>
      <c r="I53" s="267">
        <v>5149700</v>
      </c>
      <c r="J53" s="267">
        <v>5647700</v>
      </c>
      <c r="K53" s="267">
        <v>6596600</v>
      </c>
      <c r="L53" s="267">
        <v>7053000</v>
      </c>
      <c r="M53" s="267">
        <v>7951600</v>
      </c>
      <c r="N53" s="267">
        <v>9226800</v>
      </c>
      <c r="O53" s="267">
        <f>10566.4*1000</f>
        <v>10566400</v>
      </c>
      <c r="P53" s="267">
        <v>11566140.62044</v>
      </c>
      <c r="Q53" s="10" t="s">
        <v>513</v>
      </c>
      <c r="T53" s="15"/>
    </row>
    <row r="54" spans="1:20" s="10" customFormat="1" ht="24.75" customHeight="1">
      <c r="A54" s="84"/>
      <c r="B54" s="75"/>
      <c r="C54" s="75" t="s">
        <v>23</v>
      </c>
      <c r="D54" s="75"/>
      <c r="E54" s="75"/>
      <c r="F54" s="268">
        <v>3524900</v>
      </c>
      <c r="G54" s="268">
        <v>3928800</v>
      </c>
      <c r="H54" s="268">
        <v>4545900</v>
      </c>
      <c r="I54" s="268">
        <v>5201400</v>
      </c>
      <c r="J54" s="268">
        <v>5720000</v>
      </c>
      <c r="K54" s="268">
        <v>6680600</v>
      </c>
      <c r="L54" s="268">
        <v>7126800</v>
      </c>
      <c r="M54" s="268">
        <v>8036800</v>
      </c>
      <c r="N54" s="268">
        <v>9330300</v>
      </c>
      <c r="O54" s="268">
        <f>10677.3*1000</f>
        <v>10677300</v>
      </c>
      <c r="P54" s="268">
        <v>11665059.83344</v>
      </c>
      <c r="Q54" s="10" t="s">
        <v>513</v>
      </c>
      <c r="T54" s="15"/>
    </row>
    <row r="55" spans="1:17" ht="24.75" customHeight="1">
      <c r="A55" s="122" t="s">
        <v>235</v>
      </c>
      <c r="B55" s="75"/>
      <c r="C55" s="75"/>
      <c r="D55" s="75"/>
      <c r="E55" s="75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8"/>
    </row>
    <row r="56" spans="1:20" s="10" customFormat="1" ht="24.75" customHeight="1">
      <c r="A56" s="75"/>
      <c r="B56" s="466" t="s">
        <v>590</v>
      </c>
      <c r="C56" s="466"/>
      <c r="D56" s="466"/>
      <c r="E56" s="466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T56" s="15"/>
    </row>
    <row r="57" spans="1:20" s="10" customFormat="1" ht="24.75" customHeight="1">
      <c r="A57" s="75"/>
      <c r="B57" s="75" t="s">
        <v>48</v>
      </c>
      <c r="C57" s="155"/>
      <c r="D57" s="155"/>
      <c r="E57" s="155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T57" s="15"/>
    </row>
    <row r="58" spans="1:20" s="10" customFormat="1" ht="24.75" customHeight="1">
      <c r="A58" s="85"/>
      <c r="B58" s="70"/>
      <c r="C58" s="70" t="s">
        <v>237</v>
      </c>
      <c r="D58" s="70"/>
      <c r="E58" s="70"/>
      <c r="F58" s="267">
        <v>1489</v>
      </c>
      <c r="G58" s="267">
        <v>1666.9285714285713</v>
      </c>
      <c r="H58" s="267">
        <v>1725</v>
      </c>
      <c r="I58" s="267">
        <v>2300</v>
      </c>
      <c r="J58" s="267">
        <v>2645</v>
      </c>
      <c r="K58" s="267">
        <v>2882.63</v>
      </c>
      <c r="L58" s="267">
        <v>3323.75</v>
      </c>
      <c r="M58" s="267">
        <v>4200</v>
      </c>
      <c r="N58" s="267">
        <v>4084.090909090909</v>
      </c>
      <c r="O58" s="267">
        <v>4066.47</v>
      </c>
      <c r="P58" s="267">
        <v>2979.52</v>
      </c>
      <c r="T58" s="15"/>
    </row>
    <row r="59" spans="1:20" s="10" customFormat="1" ht="24.75" customHeight="1">
      <c r="A59" s="84"/>
      <c r="B59" s="75"/>
      <c r="C59" s="75" t="s">
        <v>258</v>
      </c>
      <c r="D59" s="75"/>
      <c r="E59" s="75"/>
      <c r="F59" s="268">
        <v>1400</v>
      </c>
      <c r="G59" s="268">
        <v>1816.6666666666667</v>
      </c>
      <c r="H59" s="268">
        <v>1646.6</v>
      </c>
      <c r="I59" s="268">
        <v>1600</v>
      </c>
      <c r="J59" s="268">
        <v>1890</v>
      </c>
      <c r="K59" s="268">
        <v>3850</v>
      </c>
      <c r="L59" s="268">
        <v>3055.55</v>
      </c>
      <c r="M59" s="268">
        <v>3553.5</v>
      </c>
      <c r="N59" s="268">
        <v>3553.5</v>
      </c>
      <c r="O59" s="268">
        <v>3824.18</v>
      </c>
      <c r="P59" s="268">
        <v>3813.265</v>
      </c>
      <c r="T59" s="15"/>
    </row>
    <row r="60" spans="1:20" s="10" customFormat="1" ht="24.75" customHeight="1">
      <c r="A60" s="85"/>
      <c r="B60" s="70"/>
      <c r="C60" s="70" t="s">
        <v>589</v>
      </c>
      <c r="D60" s="70"/>
      <c r="E60" s="70"/>
      <c r="F60" s="267">
        <v>3012.5</v>
      </c>
      <c r="G60" s="267">
        <v>3808.3333333333335</v>
      </c>
      <c r="H60" s="267">
        <v>5943.64</v>
      </c>
      <c r="I60" s="267">
        <v>7316.66</v>
      </c>
      <c r="J60" s="267">
        <v>7250</v>
      </c>
      <c r="K60" s="267">
        <v>10166.67</v>
      </c>
      <c r="L60" s="267">
        <v>10316.67</v>
      </c>
      <c r="M60" s="267">
        <v>10000</v>
      </c>
      <c r="N60" s="267">
        <v>17343.75</v>
      </c>
      <c r="O60" s="267">
        <v>11275</v>
      </c>
      <c r="P60" s="267">
        <f>+((12.5+10+9.7+15.57)/4)*1000</f>
        <v>11942.5</v>
      </c>
      <c r="Q60" s="267"/>
      <c r="T60" s="15"/>
    </row>
    <row r="61" spans="1:20" s="10" customFormat="1" ht="24.75" customHeight="1">
      <c r="A61" s="84"/>
      <c r="B61" s="75"/>
      <c r="C61" s="75" t="s">
        <v>239</v>
      </c>
      <c r="D61" s="75"/>
      <c r="E61" s="75"/>
      <c r="F61" s="268">
        <v>1301.25</v>
      </c>
      <c r="G61" s="268">
        <v>1222.75</v>
      </c>
      <c r="H61" s="268">
        <v>1272.5</v>
      </c>
      <c r="I61" s="268">
        <v>1800</v>
      </c>
      <c r="J61" s="268">
        <v>1933.33</v>
      </c>
      <c r="K61" s="268">
        <v>1970</v>
      </c>
      <c r="L61" s="268">
        <v>2303.75</v>
      </c>
      <c r="M61" s="268">
        <v>3800</v>
      </c>
      <c r="N61" s="268">
        <v>3112.5</v>
      </c>
      <c r="O61" s="268">
        <f>(3480.57+3575.59+3479.42+3505.73+3476.48)/5</f>
        <v>3503.558</v>
      </c>
      <c r="P61" s="268">
        <v>2748.0766</v>
      </c>
      <c r="T61" s="15"/>
    </row>
    <row r="62" spans="1:20" s="10" customFormat="1" ht="24.75" customHeight="1">
      <c r="A62" s="85"/>
      <c r="B62" s="70"/>
      <c r="C62" s="70" t="s">
        <v>240</v>
      </c>
      <c r="D62" s="70"/>
      <c r="E62" s="70"/>
      <c r="F62" s="267">
        <v>1710</v>
      </c>
      <c r="G62" s="267">
        <v>1820</v>
      </c>
      <c r="H62" s="267">
        <v>1800</v>
      </c>
      <c r="I62" s="267">
        <v>1900</v>
      </c>
      <c r="J62" s="267">
        <v>2100</v>
      </c>
      <c r="K62" s="267">
        <v>2100</v>
      </c>
      <c r="L62" s="267">
        <v>3500</v>
      </c>
      <c r="M62" s="267">
        <v>3775</v>
      </c>
      <c r="N62" s="267">
        <v>4625</v>
      </c>
      <c r="O62" s="267">
        <f>(3550+3800+3500+3795+3400+3850+3650+4300)/8</f>
        <v>3730.625</v>
      </c>
      <c r="P62" s="267">
        <v>3787.5</v>
      </c>
      <c r="T62" s="15"/>
    </row>
    <row r="63" spans="1:20" s="10" customFormat="1" ht="24.75" customHeight="1">
      <c r="A63" s="84"/>
      <c r="B63" s="75"/>
      <c r="C63" s="75" t="s">
        <v>465</v>
      </c>
      <c r="D63" s="75"/>
      <c r="E63" s="75"/>
      <c r="F63" s="268">
        <v>2975</v>
      </c>
      <c r="G63" s="268">
        <v>2390</v>
      </c>
      <c r="H63" s="268">
        <v>2407.5</v>
      </c>
      <c r="I63" s="268">
        <v>2700</v>
      </c>
      <c r="J63" s="268">
        <v>2450</v>
      </c>
      <c r="K63" s="268">
        <v>3784</v>
      </c>
      <c r="L63" s="268">
        <v>4928.505871666227</v>
      </c>
      <c r="M63" s="268">
        <v>5475.5507987327155</v>
      </c>
      <c r="N63" s="268">
        <v>6281.973717010076</v>
      </c>
      <c r="O63" s="268">
        <f>(7559.81+7729.2)/2</f>
        <v>7644.505</v>
      </c>
      <c r="P63" s="268">
        <v>6020.9671</v>
      </c>
      <c r="T63" s="15"/>
    </row>
    <row r="64" spans="1:17" ht="24.75" customHeight="1">
      <c r="A64" s="122" t="s">
        <v>241</v>
      </c>
      <c r="B64" s="75"/>
      <c r="C64" s="75"/>
      <c r="D64" s="75"/>
      <c r="E64" s="75"/>
      <c r="F64" s="194"/>
      <c r="G64" s="194"/>
      <c r="H64" s="194"/>
      <c r="I64" s="194"/>
      <c r="J64" s="194"/>
      <c r="K64" s="194"/>
      <c r="L64" s="194"/>
      <c r="M64" s="194"/>
      <c r="N64" s="196"/>
      <c r="O64" s="196"/>
      <c r="P64" s="196"/>
      <c r="Q64" s="8"/>
    </row>
    <row r="65" spans="1:21" ht="24.75" customHeight="1">
      <c r="A65" s="75"/>
      <c r="B65" s="75" t="s">
        <v>242</v>
      </c>
      <c r="C65" s="75"/>
      <c r="D65" s="75"/>
      <c r="E65" s="84"/>
      <c r="F65" s="186"/>
      <c r="G65" s="186"/>
      <c r="H65" s="186"/>
      <c r="I65" s="186"/>
      <c r="J65" s="186"/>
      <c r="K65" s="186"/>
      <c r="L65" s="186"/>
      <c r="M65" s="186"/>
      <c r="N65" s="196"/>
      <c r="O65" s="196"/>
      <c r="P65" s="196"/>
      <c r="Q65" s="10"/>
      <c r="R65" s="10"/>
      <c r="S65" s="10"/>
      <c r="T65" s="10"/>
      <c r="U65" s="10"/>
    </row>
    <row r="66" spans="1:21" ht="24.75" customHeight="1">
      <c r="A66" s="75"/>
      <c r="B66" s="84"/>
      <c r="C66" s="75" t="s">
        <v>243</v>
      </c>
      <c r="D66" s="75"/>
      <c r="E66" s="84"/>
      <c r="F66" s="77"/>
      <c r="G66" s="77"/>
      <c r="H66" s="77"/>
      <c r="I66" s="77"/>
      <c r="J66" s="77"/>
      <c r="K66" s="77"/>
      <c r="L66" s="77"/>
      <c r="M66" s="77"/>
      <c r="N66" s="196"/>
      <c r="O66" s="196"/>
      <c r="P66" s="196"/>
      <c r="Q66" s="10"/>
      <c r="R66" s="10"/>
      <c r="S66" s="10"/>
      <c r="T66" s="10"/>
      <c r="U66" s="10"/>
    </row>
    <row r="67" spans="1:21" ht="24.75" customHeight="1">
      <c r="A67" s="140"/>
      <c r="B67" s="141"/>
      <c r="C67" s="140" t="s">
        <v>49</v>
      </c>
      <c r="D67" s="140"/>
      <c r="E67" s="141"/>
      <c r="F67" s="273">
        <v>8.53</v>
      </c>
      <c r="G67" s="273">
        <v>7.21</v>
      </c>
      <c r="H67" s="273">
        <v>9.93</v>
      </c>
      <c r="I67" s="273">
        <v>10.59</v>
      </c>
      <c r="J67" s="273">
        <v>10.505</v>
      </c>
      <c r="K67" s="273">
        <v>10.73</v>
      </c>
      <c r="L67" s="273">
        <v>13.35</v>
      </c>
      <c r="M67" s="273">
        <v>12.377</v>
      </c>
      <c r="N67" s="273">
        <v>15.3122</v>
      </c>
      <c r="O67" s="273">
        <f>594.15/50</f>
        <v>11.883</v>
      </c>
      <c r="P67" s="273">
        <f>448.81/50</f>
        <v>8.9762</v>
      </c>
      <c r="Q67" s="10" t="s">
        <v>522</v>
      </c>
      <c r="R67" s="10"/>
      <c r="S67" s="10"/>
      <c r="T67" s="10"/>
      <c r="U67" s="10"/>
    </row>
    <row r="68" spans="1:21" ht="24.75" customHeight="1">
      <c r="A68" s="75"/>
      <c r="B68" s="84"/>
      <c r="C68" s="75" t="s">
        <v>244</v>
      </c>
      <c r="D68" s="75"/>
      <c r="E68" s="84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10"/>
      <c r="R68" s="10"/>
      <c r="S68" s="10"/>
      <c r="T68" s="10"/>
      <c r="U68" s="10"/>
    </row>
    <row r="69" spans="1:21" ht="24.75" customHeight="1">
      <c r="A69" s="75"/>
      <c r="B69" s="84"/>
      <c r="C69" s="75" t="s">
        <v>49</v>
      </c>
      <c r="D69" s="75"/>
      <c r="E69" s="84"/>
      <c r="F69" s="272">
        <v>11.25</v>
      </c>
      <c r="G69" s="272">
        <v>9.5</v>
      </c>
      <c r="H69" s="272">
        <v>8.79</v>
      </c>
      <c r="I69" s="272">
        <v>12.15</v>
      </c>
      <c r="J69" s="272">
        <v>14.4</v>
      </c>
      <c r="K69" s="272">
        <v>17.1</v>
      </c>
      <c r="L69" s="272">
        <v>16.59</v>
      </c>
      <c r="M69" s="272">
        <v>14.13</v>
      </c>
      <c r="N69" s="272">
        <v>19.197058823529414</v>
      </c>
      <c r="O69" s="272">
        <v>25.86</v>
      </c>
      <c r="P69" s="272">
        <v>24.4</v>
      </c>
      <c r="Q69" s="10"/>
      <c r="R69" s="10"/>
      <c r="S69" s="10"/>
      <c r="T69" s="10"/>
      <c r="U69" s="10"/>
    </row>
    <row r="70" spans="1:16" ht="24.75" customHeight="1">
      <c r="A70" s="106" t="s">
        <v>25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196"/>
    </row>
    <row r="71" ht="15" customHeight="1"/>
    <row r="72" spans="1:16" ht="15" customHeight="1">
      <c r="A72" s="477"/>
      <c r="B72" s="477"/>
      <c r="C72" s="477"/>
      <c r="D72" s="477"/>
      <c r="E72" s="477"/>
      <c r="F72" s="477"/>
      <c r="G72" s="477"/>
      <c r="H72" s="477"/>
      <c r="I72" s="477"/>
      <c r="J72" s="477"/>
      <c r="K72" s="477"/>
      <c r="L72" s="477"/>
      <c r="M72" s="477"/>
      <c r="N72" s="477"/>
      <c r="O72" s="477"/>
      <c r="P72" s="477"/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spans="14:16" ht="15" customHeight="1">
      <c r="N107" s="10"/>
      <c r="O107" s="10"/>
      <c r="P107" s="10"/>
    </row>
    <row r="108" spans="14:16" ht="15" customHeight="1">
      <c r="N108" s="10"/>
      <c r="O108" s="10"/>
      <c r="P108" s="10"/>
    </row>
    <row r="109" spans="1:16" ht="15" customHeight="1">
      <c r="A109" s="248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</sheetData>
  <sheetProtection/>
  <mergeCells count="17">
    <mergeCell ref="A72:P72"/>
    <mergeCell ref="B56:E56"/>
    <mergeCell ref="A4:E5"/>
    <mergeCell ref="F4:F5"/>
    <mergeCell ref="G4:G5"/>
    <mergeCell ref="H4:H5"/>
    <mergeCell ref="I4:I5"/>
    <mergeCell ref="J4:J5"/>
    <mergeCell ref="K4:K5"/>
    <mergeCell ref="D36:E36"/>
    <mergeCell ref="L4:L5"/>
    <mergeCell ref="M4:M5"/>
    <mergeCell ref="N4:N5"/>
    <mergeCell ref="P4:P5"/>
    <mergeCell ref="D29:E29"/>
    <mergeCell ref="D27:E27"/>
    <mergeCell ref="O4:O5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scale="43" r:id="rId2"/>
  <headerFooter alignWithMargins="0">
    <oddHeader>&amp;C
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theme="9" tint="-0.24997000396251678"/>
  </sheetPr>
  <dimension ref="A1:U83"/>
  <sheetViews>
    <sheetView showGridLines="0" view="pageBreakPreview" zoomScale="130" zoomScaleNormal="60" zoomScaleSheetLayoutView="130" zoomScalePageLayoutView="0" workbookViewId="0" topLeftCell="A1">
      <pane xSplit="5" ySplit="5" topLeftCell="F18" activePane="bottomRight" state="frozen"/>
      <selection pane="topLeft" activeCell="A1" sqref="A1"/>
      <selection pane="topRight" activeCell="F1" sqref="F1"/>
      <selection pane="bottomLeft" activeCell="A6" sqref="A6"/>
      <selection pane="bottomRight" activeCell="J31" sqref="J31"/>
    </sheetView>
  </sheetViews>
  <sheetFormatPr defaultColWidth="9.77734375" defaultRowHeight="15.75"/>
  <cols>
    <col min="1" max="4" width="2.77734375" style="4" customWidth="1"/>
    <col min="5" max="5" width="25.6640625" style="4" customWidth="1"/>
    <col min="6" max="16" width="12.77734375" style="4" customWidth="1"/>
    <col min="17" max="16384" width="9.77734375" style="4" customWidth="1"/>
  </cols>
  <sheetData>
    <row r="1" spans="1:16" ht="21" customHeight="1">
      <c r="A1" s="170" t="s">
        <v>142</v>
      </c>
      <c r="B1" s="129"/>
      <c r="C1" s="129"/>
      <c r="D1" s="129"/>
      <c r="E1" s="129"/>
      <c r="F1" s="129"/>
      <c r="G1" s="29"/>
      <c r="H1" s="29"/>
      <c r="I1" s="29"/>
      <c r="J1" s="29"/>
      <c r="K1" s="29"/>
      <c r="L1" s="29"/>
      <c r="M1" s="29"/>
      <c r="N1" s="50"/>
      <c r="O1" s="50"/>
      <c r="P1" s="208" t="s">
        <v>143</v>
      </c>
    </row>
    <row r="2" spans="1:16" ht="21" customHeight="1">
      <c r="A2" s="129" t="s">
        <v>512</v>
      </c>
      <c r="B2" s="169"/>
      <c r="C2" s="169"/>
      <c r="D2" s="169"/>
      <c r="E2" s="169"/>
      <c r="F2" s="169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21" ht="15" customHeight="1">
      <c r="A3" s="3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0"/>
      <c r="R3" s="10"/>
      <c r="S3" s="10"/>
      <c r="T3" s="10"/>
      <c r="U3" s="10"/>
    </row>
    <row r="4" spans="1:21" ht="24.75" customHeight="1">
      <c r="A4" s="478" t="s">
        <v>64</v>
      </c>
      <c r="B4" s="478"/>
      <c r="C4" s="478"/>
      <c r="D4" s="478"/>
      <c r="E4" s="478"/>
      <c r="F4" s="487">
        <v>2003</v>
      </c>
      <c r="G4" s="487">
        <v>2004</v>
      </c>
      <c r="H4" s="482">
        <v>2005</v>
      </c>
      <c r="I4" s="487">
        <v>2006</v>
      </c>
      <c r="J4" s="482">
        <v>2007</v>
      </c>
      <c r="K4" s="487">
        <v>2008</v>
      </c>
      <c r="L4" s="482">
        <v>2009</v>
      </c>
      <c r="M4" s="487">
        <v>2010</v>
      </c>
      <c r="N4" s="482">
        <v>2011</v>
      </c>
      <c r="O4" s="482">
        <v>2012</v>
      </c>
      <c r="P4" s="482" t="s">
        <v>499</v>
      </c>
      <c r="Q4" s="10"/>
      <c r="R4" s="10"/>
      <c r="S4" s="10"/>
      <c r="T4" s="10"/>
      <c r="U4" s="10"/>
    </row>
    <row r="5" spans="1:21" ht="24.75" customHeight="1">
      <c r="A5" s="479"/>
      <c r="B5" s="479"/>
      <c r="C5" s="479"/>
      <c r="D5" s="479"/>
      <c r="E5" s="479"/>
      <c r="F5" s="488"/>
      <c r="G5" s="488"/>
      <c r="H5" s="481"/>
      <c r="I5" s="488"/>
      <c r="J5" s="481"/>
      <c r="K5" s="488"/>
      <c r="L5" s="481"/>
      <c r="M5" s="488"/>
      <c r="N5" s="481"/>
      <c r="O5" s="481"/>
      <c r="P5" s="481"/>
      <c r="Q5" s="10"/>
      <c r="R5" s="10"/>
      <c r="S5" s="10"/>
      <c r="T5" s="10"/>
      <c r="U5" s="10"/>
    </row>
    <row r="6" spans="1:21" ht="24.75" customHeight="1">
      <c r="A6" s="75"/>
      <c r="B6" s="84"/>
      <c r="C6" s="75" t="s">
        <v>245</v>
      </c>
      <c r="D6" s="75"/>
      <c r="E6" s="84"/>
      <c r="F6" s="249"/>
      <c r="G6" s="249"/>
      <c r="H6" s="249"/>
      <c r="I6" s="249"/>
      <c r="J6" s="249"/>
      <c r="K6" s="249"/>
      <c r="L6" s="249"/>
      <c r="M6" s="249"/>
      <c r="O6" s="249"/>
      <c r="P6" s="249"/>
      <c r="Q6" s="10"/>
      <c r="R6" s="10"/>
      <c r="S6" s="10"/>
      <c r="T6" s="10"/>
      <c r="U6" s="10"/>
    </row>
    <row r="7" spans="1:21" ht="24.75" customHeight="1">
      <c r="A7" s="140"/>
      <c r="B7" s="141"/>
      <c r="C7" s="140" t="s">
        <v>49</v>
      </c>
      <c r="D7" s="140"/>
      <c r="E7" s="141"/>
      <c r="F7" s="273">
        <v>11.75</v>
      </c>
      <c r="G7" s="273">
        <v>10</v>
      </c>
      <c r="H7" s="273">
        <v>9.28</v>
      </c>
      <c r="I7" s="273">
        <v>12.67</v>
      </c>
      <c r="J7" s="273">
        <v>14.46</v>
      </c>
      <c r="K7" s="273">
        <v>17.55</v>
      </c>
      <c r="L7" s="273">
        <v>17.24</v>
      </c>
      <c r="M7" s="273">
        <v>14.53</v>
      </c>
      <c r="N7" s="273">
        <v>19.812962962962963</v>
      </c>
      <c r="O7" s="273">
        <v>27.05</v>
      </c>
      <c r="P7" s="273">
        <v>24.68</v>
      </c>
      <c r="Q7" s="10"/>
      <c r="R7" s="10"/>
      <c r="S7" s="10"/>
      <c r="T7" s="10"/>
      <c r="U7" s="10"/>
    </row>
    <row r="8" spans="1:21" ht="24.75" customHeight="1">
      <c r="A8" s="75"/>
      <c r="B8" s="84"/>
      <c r="C8" s="75" t="s">
        <v>246</v>
      </c>
      <c r="D8" s="75"/>
      <c r="E8" s="84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10"/>
      <c r="R8" s="10"/>
      <c r="S8" s="10"/>
      <c r="T8" s="10"/>
      <c r="U8" s="10"/>
    </row>
    <row r="9" spans="1:21" ht="24.75" customHeight="1">
      <c r="A9" s="75"/>
      <c r="B9" s="84"/>
      <c r="C9" s="75" t="s">
        <v>50</v>
      </c>
      <c r="D9" s="75"/>
      <c r="E9" s="84"/>
      <c r="F9" s="272">
        <v>0.8</v>
      </c>
      <c r="G9" s="272">
        <v>0.8</v>
      </c>
      <c r="H9" s="272">
        <v>0.9</v>
      </c>
      <c r="I9" s="272">
        <v>0.94</v>
      </c>
      <c r="J9" s="272">
        <v>1.0904552631578948</v>
      </c>
      <c r="K9" s="272">
        <v>1.35640625</v>
      </c>
      <c r="L9" s="272">
        <v>1.22</v>
      </c>
      <c r="M9" s="272">
        <v>1.22</v>
      </c>
      <c r="N9" s="272">
        <v>1.45</v>
      </c>
      <c r="O9" s="272">
        <v>1.47</v>
      </c>
      <c r="P9" s="272">
        <v>1.44</v>
      </c>
      <c r="Q9" s="10"/>
      <c r="R9" s="10"/>
      <c r="S9" s="10"/>
      <c r="T9" s="10"/>
      <c r="U9" s="10"/>
    </row>
    <row r="10" spans="1:17" ht="24.75" customHeight="1">
      <c r="A10" s="122" t="s">
        <v>247</v>
      </c>
      <c r="B10" s="75"/>
      <c r="C10" s="75"/>
      <c r="D10" s="75"/>
      <c r="E10" s="75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8"/>
    </row>
    <row r="11" spans="1:21" ht="24.75" customHeight="1">
      <c r="A11" s="75"/>
      <c r="B11" s="75" t="s">
        <v>248</v>
      </c>
      <c r="C11" s="75"/>
      <c r="D11" s="75"/>
      <c r="E11" s="84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10"/>
      <c r="R11" s="10"/>
      <c r="S11" s="10"/>
      <c r="T11" s="10"/>
      <c r="U11" s="10"/>
    </row>
    <row r="12" spans="1:21" ht="24.75" customHeight="1">
      <c r="A12" s="75"/>
      <c r="B12" s="75" t="s">
        <v>51</v>
      </c>
      <c r="C12" s="75"/>
      <c r="D12" s="75"/>
      <c r="E12" s="84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10"/>
      <c r="R12" s="10"/>
      <c r="S12" s="10"/>
      <c r="T12" s="10"/>
      <c r="U12" s="10"/>
    </row>
    <row r="13" spans="1:21" ht="24.75" customHeight="1">
      <c r="A13" s="141"/>
      <c r="B13" s="141"/>
      <c r="C13" s="141" t="s">
        <v>249</v>
      </c>
      <c r="D13" s="141"/>
      <c r="E13" s="141"/>
      <c r="F13" s="273">
        <v>6.04</v>
      </c>
      <c r="G13" s="273">
        <v>6.22</v>
      </c>
      <c r="H13" s="273">
        <v>6.47</v>
      </c>
      <c r="I13" s="273">
        <v>6.74</v>
      </c>
      <c r="J13" s="273">
        <v>7.01</v>
      </c>
      <c r="K13" s="273">
        <v>7.7</v>
      </c>
      <c r="L13" s="273">
        <v>7.77</v>
      </c>
      <c r="M13" s="273">
        <v>8.76</v>
      </c>
      <c r="N13" s="273">
        <v>9.73</v>
      </c>
      <c r="O13" s="273">
        <v>10.79</v>
      </c>
      <c r="P13" s="273">
        <v>12.13</v>
      </c>
      <c r="Q13" s="10"/>
      <c r="R13" s="10"/>
      <c r="S13" s="10"/>
      <c r="T13" s="10"/>
      <c r="U13" s="10"/>
    </row>
    <row r="14" spans="1:21" ht="24.75" customHeight="1">
      <c r="A14" s="84"/>
      <c r="B14" s="84"/>
      <c r="C14" s="84" t="s">
        <v>250</v>
      </c>
      <c r="D14" s="84"/>
      <c r="E14" s="84"/>
      <c r="F14" s="272">
        <v>6.78</v>
      </c>
      <c r="G14" s="272">
        <v>7.35</v>
      </c>
      <c r="H14" s="272">
        <v>7.65</v>
      </c>
      <c r="I14" s="272">
        <v>8.3</v>
      </c>
      <c r="J14" s="272">
        <v>8.73</v>
      </c>
      <c r="K14" s="272">
        <v>9.57</v>
      </c>
      <c r="L14" s="272">
        <v>9.57</v>
      </c>
      <c r="M14" s="272">
        <v>10.1</v>
      </c>
      <c r="N14" s="272">
        <v>10.59</v>
      </c>
      <c r="O14" s="272">
        <v>11.35</v>
      </c>
      <c r="P14" s="272">
        <v>12.495</v>
      </c>
      <c r="Q14" s="10"/>
      <c r="R14" s="10"/>
      <c r="S14" s="10"/>
      <c r="T14" s="10"/>
      <c r="U14" s="10"/>
    </row>
    <row r="15" spans="1:21" ht="24.75" customHeight="1">
      <c r="A15" s="75"/>
      <c r="B15" s="75" t="s">
        <v>251</v>
      </c>
      <c r="C15" s="75"/>
      <c r="D15" s="75"/>
      <c r="E15" s="8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10">
        <f>12.3+12.69</f>
        <v>24.990000000000002</v>
      </c>
      <c r="R15" s="10">
        <f>24.99/2</f>
        <v>12.495</v>
      </c>
      <c r="S15" s="10"/>
      <c r="T15" s="10"/>
      <c r="U15" s="10"/>
    </row>
    <row r="16" spans="1:21" ht="24.75" customHeight="1">
      <c r="A16" s="140"/>
      <c r="B16" s="140" t="s">
        <v>51</v>
      </c>
      <c r="C16" s="140"/>
      <c r="D16" s="140"/>
      <c r="E16" s="141"/>
      <c r="F16" s="273">
        <v>5.01</v>
      </c>
      <c r="G16" s="273">
        <v>5.16</v>
      </c>
      <c r="H16" s="273">
        <v>5.31</v>
      </c>
      <c r="I16" s="273">
        <v>5.7</v>
      </c>
      <c r="J16" s="273">
        <v>5.93</v>
      </c>
      <c r="K16" s="273">
        <v>7.33</v>
      </c>
      <c r="L16" s="273">
        <v>8.16</v>
      </c>
      <c r="M16" s="273">
        <v>9.12</v>
      </c>
      <c r="N16" s="273">
        <v>10.09</v>
      </c>
      <c r="O16" s="273">
        <v>11.15</v>
      </c>
      <c r="P16" s="273">
        <v>12.49</v>
      </c>
      <c r="Q16" s="10"/>
      <c r="R16" s="10"/>
      <c r="S16" s="10"/>
      <c r="T16" s="10"/>
      <c r="U16" s="10"/>
    </row>
    <row r="17" spans="1:21" ht="24.75" customHeight="1">
      <c r="A17" s="197"/>
      <c r="B17" s="198"/>
      <c r="C17" s="197"/>
      <c r="D17" s="197"/>
      <c r="E17" s="198"/>
      <c r="F17" s="199"/>
      <c r="G17" s="199"/>
      <c r="H17" s="199"/>
      <c r="I17" s="199"/>
      <c r="J17" s="199"/>
      <c r="K17" s="199"/>
      <c r="L17" s="199"/>
      <c r="M17" s="199"/>
      <c r="N17" s="199"/>
      <c r="O17" s="51"/>
      <c r="P17" s="51"/>
      <c r="Q17" s="10"/>
      <c r="R17" s="10"/>
      <c r="S17" s="10"/>
      <c r="T17" s="10"/>
      <c r="U17" s="10"/>
    </row>
    <row r="18" spans="1:19" s="36" customFormat="1" ht="15.75" customHeight="1">
      <c r="A18" s="75" t="s">
        <v>468</v>
      </c>
      <c r="B18" s="75" t="s">
        <v>559</v>
      </c>
      <c r="C18" s="196"/>
      <c r="D18" s="196"/>
      <c r="E18" s="196"/>
      <c r="Q18" s="34"/>
      <c r="R18" s="34"/>
      <c r="S18" s="34"/>
    </row>
    <row r="19" spans="1:19" s="36" customFormat="1" ht="15.75" customHeight="1">
      <c r="A19" s="84" t="s">
        <v>547</v>
      </c>
      <c r="B19" s="84" t="s">
        <v>5</v>
      </c>
      <c r="C19" s="84"/>
      <c r="D19" s="84"/>
      <c r="E19" s="84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34"/>
      <c r="R19" s="34"/>
      <c r="S19" s="34"/>
    </row>
    <row r="20" spans="1:19" s="36" customFormat="1" ht="15.75" customHeight="1">
      <c r="A20" s="84" t="s">
        <v>42</v>
      </c>
      <c r="B20" s="206" t="s">
        <v>398</v>
      </c>
      <c r="C20" s="263"/>
      <c r="D20" s="263"/>
      <c r="E20" s="263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34"/>
      <c r="R20" s="34"/>
      <c r="S20" s="34"/>
    </row>
    <row r="21" spans="1:19" ht="15.75" customHeight="1">
      <c r="A21" s="84" t="s">
        <v>588</v>
      </c>
      <c r="B21" s="264" t="s">
        <v>496</v>
      </c>
      <c r="C21" s="262"/>
      <c r="D21" s="262"/>
      <c r="E21" s="262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10"/>
      <c r="R21" s="10"/>
      <c r="S21" s="10"/>
    </row>
    <row r="22" spans="1:19" s="36" customFormat="1" ht="15.75" customHeight="1">
      <c r="A22" s="84" t="s">
        <v>8</v>
      </c>
      <c r="B22" s="75" t="s">
        <v>560</v>
      </c>
      <c r="C22" s="155"/>
      <c r="D22" s="155"/>
      <c r="E22" s="155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34"/>
      <c r="R22" s="34"/>
      <c r="S22" s="34"/>
    </row>
    <row r="23" spans="1:19" s="36" customFormat="1" ht="15.75" customHeight="1">
      <c r="A23" s="84" t="s">
        <v>53</v>
      </c>
      <c r="B23" s="84" t="s">
        <v>463</v>
      </c>
      <c r="C23" s="84"/>
      <c r="D23" s="84"/>
      <c r="E23" s="84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34"/>
      <c r="R23" s="34"/>
      <c r="S23" s="34"/>
    </row>
    <row r="24" spans="1:19" s="36" customFormat="1" ht="15.75" customHeight="1">
      <c r="A24" s="84" t="s">
        <v>0</v>
      </c>
      <c r="B24" s="84" t="s">
        <v>608</v>
      </c>
      <c r="C24" s="84"/>
      <c r="D24" s="84"/>
      <c r="E24" s="84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34"/>
      <c r="R24" s="34"/>
      <c r="S24" s="34"/>
    </row>
    <row r="25" spans="1:19" s="36" customFormat="1" ht="15.75" customHeight="1">
      <c r="A25" s="84" t="s">
        <v>52</v>
      </c>
      <c r="B25" s="84" t="s">
        <v>609</v>
      </c>
      <c r="C25" s="84"/>
      <c r="D25" s="84"/>
      <c r="E25" s="84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34"/>
      <c r="R25" s="34"/>
      <c r="S25" s="34"/>
    </row>
    <row r="26" spans="1:19" s="36" customFormat="1" ht="15.75" customHeight="1">
      <c r="A26" s="84" t="s">
        <v>58</v>
      </c>
      <c r="B26" s="75" t="s">
        <v>467</v>
      </c>
      <c r="C26" s="155"/>
      <c r="D26" s="155"/>
      <c r="E26" s="155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34"/>
      <c r="R26" s="34"/>
      <c r="S26" s="34"/>
    </row>
    <row r="27" spans="1:19" s="36" customFormat="1" ht="15.75" customHeight="1">
      <c r="A27" s="84"/>
      <c r="B27" s="75"/>
      <c r="C27" s="155"/>
      <c r="D27" s="155"/>
      <c r="E27" s="155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34"/>
      <c r="R27" s="34"/>
      <c r="S27" s="34"/>
    </row>
    <row r="28" spans="1:19" ht="15">
      <c r="A28" s="264" t="s">
        <v>599</v>
      </c>
      <c r="B28" s="10"/>
      <c r="C28" s="10"/>
      <c r="D28" s="10"/>
      <c r="E28" s="10"/>
      <c r="F28" s="10"/>
      <c r="G28" s="10"/>
      <c r="H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ht="15" customHeight="1">
      <c r="Q29" s="257">
        <f>6889765840/567779.15</f>
        <v>12134.587612102347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spans="14:16" ht="15" customHeight="1">
      <c r="N66" s="10"/>
      <c r="O66" s="10"/>
      <c r="P66" s="10"/>
    </row>
    <row r="67" spans="14:16" ht="15" customHeight="1">
      <c r="N67" s="10"/>
      <c r="O67" s="10"/>
      <c r="P67" s="10"/>
    </row>
    <row r="68" spans="1:16" ht="15" customHeight="1">
      <c r="A68" s="24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spans="1:16" ht="18.75" customHeight="1">
      <c r="A83" s="477"/>
      <c r="B83" s="477"/>
      <c r="C83" s="477"/>
      <c r="D83" s="477"/>
      <c r="E83" s="477"/>
      <c r="F83" s="477"/>
      <c r="G83" s="477"/>
      <c r="H83" s="477"/>
      <c r="I83" s="477"/>
      <c r="J83" s="477"/>
      <c r="K83" s="477"/>
      <c r="L83" s="477"/>
      <c r="M83" s="477"/>
      <c r="N83" s="477"/>
      <c r="O83" s="477"/>
      <c r="P83" s="477"/>
    </row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mergeCells count="13">
    <mergeCell ref="O4:O5"/>
    <mergeCell ref="M4:M5"/>
    <mergeCell ref="N4:N5"/>
    <mergeCell ref="P4:P5"/>
    <mergeCell ref="A4:E5"/>
    <mergeCell ref="A83:P83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scale="43" r:id="rId2"/>
  <headerFooter alignWithMargins="0">
    <oddHeader>&amp;C
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tabColor theme="9" tint="-0.24997000396251678"/>
  </sheetPr>
  <dimension ref="A1:AE607"/>
  <sheetViews>
    <sheetView showGridLines="0" view="pageBreakPreview" zoomScale="70" zoomScaleNormal="60" zoomScaleSheetLayoutView="7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9.77734375" defaultRowHeight="15.75"/>
  <cols>
    <col min="1" max="4" width="2.77734375" style="4" customWidth="1"/>
    <col min="5" max="5" width="29.10546875" style="4" customWidth="1"/>
    <col min="6" max="6" width="15.4453125" style="4" customWidth="1"/>
    <col min="7" max="7" width="15.88671875" style="4" customWidth="1"/>
    <col min="8" max="8" width="13.10546875" style="4" customWidth="1"/>
    <col min="9" max="11" width="11.77734375" style="4" customWidth="1"/>
    <col min="12" max="12" width="13.21484375" style="4" customWidth="1"/>
    <col min="13" max="13" width="13.5546875" style="4" customWidth="1"/>
    <col min="14" max="16" width="12.99609375" style="4" customWidth="1"/>
    <col min="17" max="17" width="11.21484375" style="4" customWidth="1"/>
    <col min="18" max="18" width="6.88671875" style="8" customWidth="1"/>
    <col min="19" max="31" width="6.88671875" style="4" customWidth="1"/>
    <col min="32" max="16384" width="9.77734375" style="4" customWidth="1"/>
  </cols>
  <sheetData>
    <row r="1" spans="1:18" ht="21" customHeight="1">
      <c r="A1" s="170" t="s">
        <v>252</v>
      </c>
      <c r="B1" s="129"/>
      <c r="C1" s="129"/>
      <c r="D1" s="129"/>
      <c r="E1" s="129"/>
      <c r="F1" s="129"/>
      <c r="G1" s="29"/>
      <c r="H1" s="29"/>
      <c r="I1" s="29"/>
      <c r="J1" s="29"/>
      <c r="K1" s="29"/>
      <c r="L1" s="29"/>
      <c r="M1" s="50"/>
      <c r="N1" s="50"/>
      <c r="O1" s="50"/>
      <c r="P1" s="50"/>
      <c r="Q1" s="208" t="s">
        <v>253</v>
      </c>
      <c r="R1" s="4"/>
    </row>
    <row r="2" spans="1:18" ht="21" customHeight="1">
      <c r="A2" s="129" t="s">
        <v>512</v>
      </c>
      <c r="B2" s="169"/>
      <c r="C2" s="169"/>
      <c r="D2" s="169"/>
      <c r="E2" s="169"/>
      <c r="F2" s="169"/>
      <c r="G2" s="31"/>
      <c r="H2" s="31"/>
      <c r="I2" s="31"/>
      <c r="J2" s="31"/>
      <c r="K2" s="31"/>
      <c r="L2" s="31"/>
      <c r="M2" s="31"/>
      <c r="N2" s="31"/>
      <c r="O2" s="31"/>
      <c r="P2" s="31"/>
      <c r="R2" s="4"/>
    </row>
    <row r="3" spans="1:22" ht="15" customHeight="1">
      <c r="A3" s="130"/>
      <c r="B3" s="169"/>
      <c r="C3" s="169"/>
      <c r="D3" s="169"/>
      <c r="E3" s="169"/>
      <c r="F3" s="169"/>
      <c r="G3" s="31"/>
      <c r="H3" s="31"/>
      <c r="I3" s="31"/>
      <c r="J3" s="31"/>
      <c r="K3" s="31"/>
      <c r="L3" s="31"/>
      <c r="M3" s="31"/>
      <c r="N3" s="31"/>
      <c r="O3" s="31"/>
      <c r="P3" s="31"/>
      <c r="Q3" s="10"/>
      <c r="R3" s="10"/>
      <c r="S3" s="10"/>
      <c r="T3" s="10"/>
      <c r="U3" s="10"/>
      <c r="V3" s="10"/>
    </row>
    <row r="4" spans="1:22" ht="24.75" customHeight="1">
      <c r="A4" s="478" t="s">
        <v>64</v>
      </c>
      <c r="B4" s="478"/>
      <c r="C4" s="478"/>
      <c r="D4" s="478"/>
      <c r="E4" s="478"/>
      <c r="F4" s="482">
        <v>2003</v>
      </c>
      <c r="G4" s="482">
        <v>2004</v>
      </c>
      <c r="H4" s="482">
        <v>2005</v>
      </c>
      <c r="I4" s="482">
        <v>2006</v>
      </c>
      <c r="J4" s="482">
        <v>2007</v>
      </c>
      <c r="K4" s="482">
        <v>2008</v>
      </c>
      <c r="L4" s="482">
        <v>2009</v>
      </c>
      <c r="M4" s="489">
        <v>2010</v>
      </c>
      <c r="N4" s="482">
        <v>2011</v>
      </c>
      <c r="O4" s="482">
        <v>2012</v>
      </c>
      <c r="P4" s="482" t="s">
        <v>499</v>
      </c>
      <c r="Q4" s="480" t="s">
        <v>26</v>
      </c>
      <c r="R4" s="10"/>
      <c r="S4" s="10"/>
      <c r="T4" s="10"/>
      <c r="U4" s="10"/>
      <c r="V4" s="10"/>
    </row>
    <row r="5" spans="1:22" ht="24.75" customHeight="1">
      <c r="A5" s="479"/>
      <c r="B5" s="479"/>
      <c r="C5" s="479"/>
      <c r="D5" s="479"/>
      <c r="E5" s="479"/>
      <c r="F5" s="481"/>
      <c r="G5" s="481"/>
      <c r="H5" s="481"/>
      <c r="I5" s="481"/>
      <c r="J5" s="481"/>
      <c r="K5" s="481"/>
      <c r="L5" s="481"/>
      <c r="M5" s="490"/>
      <c r="N5" s="481"/>
      <c r="O5" s="481"/>
      <c r="P5" s="481"/>
      <c r="Q5" s="481"/>
      <c r="R5" s="10"/>
      <c r="S5" s="10"/>
      <c r="T5" s="10"/>
      <c r="U5" s="10"/>
      <c r="V5" s="10"/>
    </row>
    <row r="6" spans="1:17" ht="24.75" customHeight="1">
      <c r="A6" s="122" t="s">
        <v>529</v>
      </c>
      <c r="B6" s="79"/>
      <c r="C6" s="79"/>
      <c r="D6" s="79"/>
      <c r="E6" s="79"/>
      <c r="F6" s="200"/>
      <c r="G6" s="200"/>
      <c r="H6" s="200"/>
      <c r="I6" s="200"/>
      <c r="J6" s="200"/>
      <c r="K6" s="200"/>
      <c r="L6" s="200"/>
      <c r="M6" s="200"/>
      <c r="Q6" s="160"/>
    </row>
    <row r="7" spans="1:22" ht="24.75" customHeight="1">
      <c r="A7" s="75"/>
      <c r="B7" s="75" t="s">
        <v>125</v>
      </c>
      <c r="C7" s="75"/>
      <c r="D7" s="75"/>
      <c r="E7" s="75"/>
      <c r="F7" s="139"/>
      <c r="G7" s="139"/>
      <c r="H7" s="139"/>
      <c r="I7" s="139"/>
      <c r="J7" s="139"/>
      <c r="K7" s="139"/>
      <c r="L7" s="139"/>
      <c r="M7" s="139"/>
      <c r="Q7" s="173"/>
      <c r="S7" s="16"/>
      <c r="V7" s="18"/>
    </row>
    <row r="8" spans="1:22" ht="24.75" customHeight="1">
      <c r="A8" s="70"/>
      <c r="B8" s="70" t="s">
        <v>29</v>
      </c>
      <c r="C8" s="70"/>
      <c r="D8" s="70"/>
      <c r="E8" s="70"/>
      <c r="F8" s="279">
        <f>+'PIB NACIONAL 2008'!B9</f>
        <v>10385857.0775</v>
      </c>
      <c r="G8" s="279">
        <f>+'PIB NACIONAL 2008'!C9</f>
        <v>10832003.968249999</v>
      </c>
      <c r="H8" s="279">
        <f>+'PIB NACIONAL 2008'!D9</f>
        <v>11160492.604000002</v>
      </c>
      <c r="I8" s="279">
        <f>+'PIB NACIONAL 2008'!E9</f>
        <v>11718671.740000002</v>
      </c>
      <c r="J8" s="279">
        <f>+'PIB NACIONAL 2008'!F9</f>
        <v>12087601.943750001</v>
      </c>
      <c r="K8" s="279">
        <f>+'PIB NACIONAL 2008'!G9</f>
        <v>12256863.4685</v>
      </c>
      <c r="L8" s="279">
        <f>+'PIB NACIONAL 2008'!H9</f>
        <v>11680749.352249999</v>
      </c>
      <c r="M8" s="279">
        <f>+'PIB NACIONAL 2008'!I9</f>
        <v>12277658.828499999</v>
      </c>
      <c r="N8" s="279">
        <f>+'PIB NACIONAL 2008'!J9</f>
        <v>12774558.7215</v>
      </c>
      <c r="O8" s="279">
        <f>+'PIB NACIONAL 2008'!K9</f>
        <v>13284369.493250001</v>
      </c>
      <c r="P8" s="279">
        <f>+'PIB NACIONAL 2008'!L9</f>
        <v>13426543.23025</v>
      </c>
      <c r="Q8" s="174">
        <f>(((P8/F8)^(1/10))-1)*100</f>
        <v>2.601140241399258</v>
      </c>
      <c r="S8" s="16"/>
      <c r="V8" s="18"/>
    </row>
    <row r="9" spans="1:22" ht="24.75" customHeight="1">
      <c r="A9" s="75"/>
      <c r="B9" s="75" t="s">
        <v>126</v>
      </c>
      <c r="C9" s="75"/>
      <c r="D9" s="75"/>
      <c r="E9" s="75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175"/>
      <c r="S9" s="16"/>
      <c r="V9" s="18"/>
    </row>
    <row r="10" spans="1:22" ht="24.75" customHeight="1">
      <c r="A10" s="75"/>
      <c r="B10" s="75" t="s">
        <v>29</v>
      </c>
      <c r="C10" s="75"/>
      <c r="D10" s="75"/>
      <c r="E10" s="75"/>
      <c r="F10" s="281">
        <f>+'PIB NACIONAL 2008'!B10</f>
        <v>10118838.0775</v>
      </c>
      <c r="G10" s="281">
        <f>+'PIB NACIONAL 2008'!C10</f>
        <v>10553711.9685</v>
      </c>
      <c r="H10" s="281">
        <f>+'PIB NACIONAL 2008'!D10</f>
        <v>10873485.603750002</v>
      </c>
      <c r="I10" s="281">
        <f>+'PIB NACIONAL 2008'!E10</f>
        <v>11417292.740250003</v>
      </c>
      <c r="J10" s="281">
        <f>+'PIB NACIONAL 2008'!F10</f>
        <v>11776451.943500001</v>
      </c>
      <c r="K10" s="281">
        <f>+'PIB NACIONAL 2008'!G10</f>
        <v>11941199.4685</v>
      </c>
      <c r="L10" s="281">
        <f>+'PIB NACIONAL 2008'!H10</f>
        <v>11379940.3525</v>
      </c>
      <c r="M10" s="281">
        <f>+'PIB NACIONAL 2008'!I10</f>
        <v>11961178.828499999</v>
      </c>
      <c r="N10" s="281">
        <f>+'PIB NACIONAL 2008'!J10</f>
        <v>12445419.72175</v>
      </c>
      <c r="O10" s="281">
        <f>+'PIB NACIONAL 2008'!K10</f>
        <v>12941077.493250001</v>
      </c>
      <c r="P10" s="281">
        <f>+'PIB NACIONAL 2008'!L10</f>
        <v>13079600.70425</v>
      </c>
      <c r="Q10" s="175">
        <f>(((P10/F10)^(1/10))-1)*100</f>
        <v>2.5997692332418776</v>
      </c>
      <c r="S10" s="16"/>
      <c r="V10" s="18"/>
    </row>
    <row r="11" spans="1:17" ht="24.75" customHeight="1">
      <c r="A11" s="122" t="s">
        <v>127</v>
      </c>
      <c r="B11" s="79"/>
      <c r="C11" s="79"/>
      <c r="D11" s="79"/>
      <c r="E11" s="79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143"/>
    </row>
    <row r="12" spans="1:22" ht="25.5" customHeight="1">
      <c r="A12" s="176"/>
      <c r="B12" s="465" t="s">
        <v>430</v>
      </c>
      <c r="C12" s="465"/>
      <c r="D12" s="465"/>
      <c r="E12" s="465"/>
      <c r="F12" s="279">
        <v>73.783729734576</v>
      </c>
      <c r="G12" s="279">
        <v>77.613731182722</v>
      </c>
      <c r="H12" s="279">
        <v>80.200395826581</v>
      </c>
      <c r="I12" s="279">
        <v>83.451138863412</v>
      </c>
      <c r="J12" s="279">
        <v>86.588098998021</v>
      </c>
      <c r="K12" s="279">
        <v>92.240695661768</v>
      </c>
      <c r="L12" s="279">
        <v>95.536951859488</v>
      </c>
      <c r="M12" s="279">
        <v>99.742092088296</v>
      </c>
      <c r="N12" s="279">
        <v>103.551</v>
      </c>
      <c r="O12" s="279">
        <v>107.246</v>
      </c>
      <c r="P12" s="279">
        <v>111.508</v>
      </c>
      <c r="Q12" s="174">
        <f aca="true" t="shared" si="0" ref="Q12:Q20">(((P12/F12)^(1/10))-1)*100</f>
        <v>4.216034080035014</v>
      </c>
      <c r="S12" s="16"/>
      <c r="V12" s="18"/>
    </row>
    <row r="13" spans="1:22" ht="24.75" customHeight="1">
      <c r="A13" s="84"/>
      <c r="B13" s="84"/>
      <c r="C13" s="75" t="s">
        <v>380</v>
      </c>
      <c r="D13" s="75"/>
      <c r="E13" s="75"/>
      <c r="F13" s="280">
        <f>+((F12/70.9619)-1)*100</f>
        <v>3.976541967698166</v>
      </c>
      <c r="G13" s="280">
        <f>((G12/F12)-1)*100</f>
        <v>5.190848256009506</v>
      </c>
      <c r="H13" s="280">
        <f aca="true" t="shared" si="1" ref="H13:M13">((H12/G12)-1)*100</f>
        <v>3.3327410039975414</v>
      </c>
      <c r="I13" s="280">
        <f t="shared" si="1"/>
        <v>4.0532755522306285</v>
      </c>
      <c r="J13" s="280">
        <f t="shared" si="1"/>
        <v>3.7590381357687663</v>
      </c>
      <c r="K13" s="280">
        <f t="shared" si="1"/>
        <v>6.528145009715702</v>
      </c>
      <c r="L13" s="280">
        <f t="shared" si="1"/>
        <v>3.5735378772584703</v>
      </c>
      <c r="M13" s="280">
        <f t="shared" si="1"/>
        <v>4.401585090335258</v>
      </c>
      <c r="N13" s="280">
        <f>((N12/M12)-1)*100</f>
        <v>3.818756787587918</v>
      </c>
      <c r="O13" s="280">
        <f>((O12/N12)-1)*100</f>
        <v>3.5682900213421354</v>
      </c>
      <c r="P13" s="280">
        <f>((P12/O12)-1)*100</f>
        <v>3.9740409898737505</v>
      </c>
      <c r="Q13" s="175">
        <f t="shared" si="0"/>
        <v>-0.0062911090917605605</v>
      </c>
      <c r="S13" s="16"/>
      <c r="V13" s="18"/>
    </row>
    <row r="14" spans="1:22" ht="24.75" customHeight="1">
      <c r="A14" s="70"/>
      <c r="B14" s="70"/>
      <c r="C14" s="70" t="s">
        <v>610</v>
      </c>
      <c r="D14" s="70"/>
      <c r="E14" s="70"/>
      <c r="F14" s="279">
        <v>71.075962362394</v>
      </c>
      <c r="G14" s="279">
        <v>75.862160593521</v>
      </c>
      <c r="H14" s="279">
        <v>78.80764626692</v>
      </c>
      <c r="I14" s="279">
        <v>82.109599834939</v>
      </c>
      <c r="J14" s="279">
        <v>85.416723833662</v>
      </c>
      <c r="K14" s="279">
        <v>92.522350153907</v>
      </c>
      <c r="L14" s="279">
        <v>95.807320315936</v>
      </c>
      <c r="M14" s="279">
        <v>99.820366272142</v>
      </c>
      <c r="N14" s="279">
        <v>105.6232634411</v>
      </c>
      <c r="O14" s="279">
        <v>109.8134315835</v>
      </c>
      <c r="P14" s="279">
        <v>115.525814311</v>
      </c>
      <c r="Q14" s="174">
        <f t="shared" si="0"/>
        <v>4.977355688036456</v>
      </c>
      <c r="S14" s="16"/>
      <c r="V14" s="18"/>
    </row>
    <row r="15" spans="1:22" ht="24.75" customHeight="1">
      <c r="A15" s="84"/>
      <c r="B15" s="84"/>
      <c r="C15" s="75" t="s">
        <v>381</v>
      </c>
      <c r="D15" s="75"/>
      <c r="E15" s="75"/>
      <c r="F15" s="280">
        <f>+((F14/67.879308)-1)*100</f>
        <v>4.709320787999194</v>
      </c>
      <c r="G15" s="280">
        <f>((G14/F14)-1)*100</f>
        <v>6.73391969949515</v>
      </c>
      <c r="H15" s="280">
        <f aca="true" t="shared" si="2" ref="H15:N15">((H14/G14)-1)*100</f>
        <v>3.88268097079556</v>
      </c>
      <c r="I15" s="280">
        <f t="shared" si="2"/>
        <v>4.189889844997197</v>
      </c>
      <c r="J15" s="280">
        <f t="shared" si="2"/>
        <v>4.027694697539808</v>
      </c>
      <c r="K15" s="280">
        <f t="shared" si="2"/>
        <v>8.31877646593222</v>
      </c>
      <c r="L15" s="280">
        <f t="shared" si="2"/>
        <v>3.550461219980461</v>
      </c>
      <c r="M15" s="280">
        <f t="shared" si="2"/>
        <v>4.188663186667263</v>
      </c>
      <c r="N15" s="280">
        <f t="shared" si="2"/>
        <v>5.813339888112079</v>
      </c>
      <c r="O15" s="280">
        <f>((O14/N14)-1)*100</f>
        <v>3.9670883154794945</v>
      </c>
      <c r="P15" s="280">
        <f>((P14/O14)-1)*100</f>
        <v>5.201898023882823</v>
      </c>
      <c r="Q15" s="175">
        <f t="shared" si="0"/>
        <v>0.999763294562328</v>
      </c>
      <c r="S15" s="16"/>
      <c r="V15" s="18"/>
    </row>
    <row r="16" spans="1:22" ht="24.75" customHeight="1">
      <c r="A16" s="70"/>
      <c r="B16" s="465" t="s">
        <v>477</v>
      </c>
      <c r="C16" s="465"/>
      <c r="D16" s="465"/>
      <c r="E16" s="465"/>
      <c r="F16" s="282">
        <v>62.782127184033</v>
      </c>
      <c r="G16" s="282">
        <v>67.8951036219</v>
      </c>
      <c r="H16" s="282">
        <v>70.611058443882</v>
      </c>
      <c r="I16" s="282">
        <v>74.933607900502</v>
      </c>
      <c r="J16" s="282">
        <v>78.764573301271</v>
      </c>
      <c r="K16" s="282">
        <v>84.401152679855</v>
      </c>
      <c r="L16" s="282">
        <v>87.87237649186</v>
      </c>
      <c r="M16" s="282">
        <v>91.76486837727</v>
      </c>
      <c r="N16" s="282">
        <v>98.949027190939</v>
      </c>
      <c r="O16" s="282">
        <v>100.149871863044</v>
      </c>
      <c r="P16" s="282">
        <v>101.4846866</v>
      </c>
      <c r="Q16" s="174">
        <f t="shared" si="0"/>
        <v>4.9195571553339645</v>
      </c>
      <c r="S16" s="16"/>
      <c r="V16" s="18"/>
    </row>
    <row r="17" spans="1:22" ht="24.75" customHeight="1">
      <c r="A17" s="84"/>
      <c r="B17" s="84"/>
      <c r="C17" s="75" t="s">
        <v>381</v>
      </c>
      <c r="D17" s="75"/>
      <c r="E17" s="75"/>
      <c r="F17" s="280"/>
      <c r="G17" s="280">
        <f aca="true" t="shared" si="3" ref="G17:N17">((G16/F16)-1)*100</f>
        <v>8.143999999998975</v>
      </c>
      <c r="H17" s="280">
        <f t="shared" si="3"/>
        <v>4.000221926321568</v>
      </c>
      <c r="I17" s="280">
        <f t="shared" si="3"/>
        <v>6.121632435315116</v>
      </c>
      <c r="J17" s="280">
        <f t="shared" si="3"/>
        <v>5.112479577729423</v>
      </c>
      <c r="K17" s="280">
        <f t="shared" si="3"/>
        <v>7.156236798267579</v>
      </c>
      <c r="L17" s="280">
        <f t="shared" si="3"/>
        <v>4.112768252315013</v>
      </c>
      <c r="M17" s="280">
        <f t="shared" si="3"/>
        <v>4.429710496984907</v>
      </c>
      <c r="N17" s="280">
        <f t="shared" si="3"/>
        <v>7.828877151692737</v>
      </c>
      <c r="O17" s="280">
        <f>((O16/N16)-1)*100</f>
        <v>1.2135992704483733</v>
      </c>
      <c r="P17" s="280">
        <f>((P16/O16)-1)*100</f>
        <v>1.3328172189589704</v>
      </c>
      <c r="Q17" s="201" t="s">
        <v>55</v>
      </c>
      <c r="S17" s="16"/>
      <c r="V17" s="18"/>
    </row>
    <row r="18" spans="1:22" ht="24.75" customHeight="1">
      <c r="A18" s="70"/>
      <c r="B18" s="465" t="s">
        <v>562</v>
      </c>
      <c r="C18" s="465"/>
      <c r="D18" s="465"/>
      <c r="E18" s="465"/>
      <c r="F18" s="279">
        <f>+'ipi nac'!B6</f>
        <v>74.09714490412021</v>
      </c>
      <c r="G18" s="279">
        <f>+'ipi nac'!C6</f>
        <v>80.25514049367973</v>
      </c>
      <c r="H18" s="279">
        <f>+'ipi nac'!D6</f>
        <v>84.5961775523793</v>
      </c>
      <c r="I18" s="279">
        <f>+'ipi nac'!E6</f>
        <v>89.92584429624101</v>
      </c>
      <c r="J18" s="279">
        <f>+'ipi nac'!F6</f>
        <v>94.33850771695998</v>
      </c>
      <c r="K18" s="279">
        <f>+'ipi nac'!G6</f>
        <v>99.99999999388099</v>
      </c>
      <c r="L18" s="279">
        <f>+'ipi nac'!H6</f>
        <v>103.53693539079684</v>
      </c>
      <c r="M18" s="279">
        <f>+'ipi nac'!I6</f>
        <v>108.18073069572915</v>
      </c>
      <c r="N18" s="279">
        <f>+'ipi nac'!J6</f>
        <v>113.75313180128155</v>
      </c>
      <c r="O18" s="279">
        <f>+'ipi nac'!K6</f>
        <v>117.3416471359108</v>
      </c>
      <c r="P18" s="279">
        <f>+'ipi nac'!L6</f>
        <v>119.73997633120234</v>
      </c>
      <c r="Q18" s="174">
        <f t="shared" si="0"/>
        <v>4.91649401484473</v>
      </c>
      <c r="S18" s="16"/>
      <c r="V18" s="18"/>
    </row>
    <row r="19" spans="1:22" ht="24.75" customHeight="1">
      <c r="A19" s="84"/>
      <c r="B19" s="84"/>
      <c r="C19" s="75" t="s">
        <v>381</v>
      </c>
      <c r="D19" s="75"/>
      <c r="E19" s="75"/>
      <c r="F19" s="280"/>
      <c r="G19" s="280">
        <f aca="true" t="shared" si="4" ref="G19:N19">((G18/F18)-1)*100</f>
        <v>8.310705625065328</v>
      </c>
      <c r="H19" s="280">
        <f t="shared" si="4"/>
        <v>5.409045491660991</v>
      </c>
      <c r="I19" s="280">
        <f t="shared" si="4"/>
        <v>6.300127142933554</v>
      </c>
      <c r="J19" s="280">
        <f t="shared" si="4"/>
        <v>4.907002492167223</v>
      </c>
      <c r="K19" s="280">
        <f t="shared" si="4"/>
        <v>6.001252737542728</v>
      </c>
      <c r="L19" s="280">
        <f t="shared" si="4"/>
        <v>3.536935397132268</v>
      </c>
      <c r="M19" s="280">
        <f t="shared" si="4"/>
        <v>4.485158158684577</v>
      </c>
      <c r="N19" s="280">
        <f t="shared" si="4"/>
        <v>5.151010785114241</v>
      </c>
      <c r="O19" s="280">
        <f>((O18/N18)-1)*100</f>
        <v>3.154651900835681</v>
      </c>
      <c r="P19" s="280">
        <f>((P18/O18)-1)*100</f>
        <v>2.0438857420449263</v>
      </c>
      <c r="Q19" s="201" t="s">
        <v>55</v>
      </c>
      <c r="S19" s="16"/>
      <c r="V19" s="18"/>
    </row>
    <row r="20" spans="1:22" ht="24.75" customHeight="1">
      <c r="A20" s="70"/>
      <c r="B20" s="465" t="s">
        <v>561</v>
      </c>
      <c r="C20" s="465"/>
      <c r="D20" s="465"/>
      <c r="E20" s="465"/>
      <c r="F20" s="279">
        <f>+'ipi nac'!B7</f>
        <v>72.16648366463596</v>
      </c>
      <c r="G20" s="279">
        <f>+'ipi nac'!C7</f>
        <v>78.6726145339372</v>
      </c>
      <c r="H20" s="279">
        <f>+'ipi nac'!D7</f>
        <v>83.18994527045108</v>
      </c>
      <c r="I20" s="279">
        <f>+'ipi nac'!E7</f>
        <v>88.78921305715792</v>
      </c>
      <c r="J20" s="279">
        <f>+'ipi nac'!F7</f>
        <v>93.11747976479991</v>
      </c>
      <c r="K20" s="279">
        <f>+'ipi nac'!G7</f>
        <v>99.99999999371924</v>
      </c>
      <c r="L20" s="279">
        <f>+'ipi nac'!H7</f>
        <v>101.84416029213983</v>
      </c>
      <c r="M20" s="279">
        <f>+'ipi nac'!I7</f>
        <v>106.50019234431514</v>
      </c>
      <c r="N20" s="279">
        <f>+'ipi nac'!J7</f>
        <v>112.69511752174026</v>
      </c>
      <c r="O20" s="279">
        <f>+'ipi nac'!K7</f>
        <v>116.72058978959548</v>
      </c>
      <c r="P20" s="279">
        <f>+'ipi nac'!L7</f>
        <v>118.34935451791088</v>
      </c>
      <c r="Q20" s="174">
        <f t="shared" si="0"/>
        <v>5.071040953219241</v>
      </c>
      <c r="S20" s="16"/>
      <c r="V20" s="18"/>
    </row>
    <row r="21" spans="1:22" ht="24.75" customHeight="1">
      <c r="A21" s="84"/>
      <c r="B21" s="84"/>
      <c r="C21" s="75" t="s">
        <v>381</v>
      </c>
      <c r="D21" s="75"/>
      <c r="E21" s="75"/>
      <c r="F21" s="280"/>
      <c r="G21" s="280">
        <f aca="true" t="shared" si="5" ref="G21:N21">((G20/F20)-1)*100</f>
        <v>9.015446698963213</v>
      </c>
      <c r="H21" s="280">
        <f t="shared" si="5"/>
        <v>5.741935441290336</v>
      </c>
      <c r="I21" s="280">
        <f t="shared" si="5"/>
        <v>6.730702572893388</v>
      </c>
      <c r="J21" s="280">
        <f t="shared" si="5"/>
        <v>4.874766380523798</v>
      </c>
      <c r="K21" s="280">
        <f t="shared" si="5"/>
        <v>7.391222621470739</v>
      </c>
      <c r="L21" s="280">
        <f t="shared" si="5"/>
        <v>1.8441602985364236</v>
      </c>
      <c r="M21" s="280">
        <f t="shared" si="5"/>
        <v>4.571722167299019</v>
      </c>
      <c r="N21" s="280">
        <f t="shared" si="5"/>
        <v>5.8168206470434525</v>
      </c>
      <c r="O21" s="280">
        <f>((O20/N20)-1)*100</f>
        <v>3.572002369205274</v>
      </c>
      <c r="P21" s="280">
        <f>((P20/O20)-1)*100</f>
        <v>1.3954390834140407</v>
      </c>
      <c r="Q21" s="201" t="s">
        <v>55</v>
      </c>
      <c r="S21" s="16"/>
      <c r="V21" s="18"/>
    </row>
    <row r="22" spans="1:17" ht="24.75" customHeight="1">
      <c r="A22" s="122" t="s">
        <v>69</v>
      </c>
      <c r="B22" s="79"/>
      <c r="C22" s="79"/>
      <c r="D22" s="79"/>
      <c r="E22" s="79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3"/>
    </row>
    <row r="23" spans="1:22" ht="24.75" customHeight="1">
      <c r="A23" s="75"/>
      <c r="B23" s="75" t="s">
        <v>431</v>
      </c>
      <c r="C23" s="75"/>
      <c r="D23" s="75"/>
      <c r="E23" s="75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75"/>
      <c r="S23" s="16"/>
      <c r="V23" s="18"/>
    </row>
    <row r="24" spans="1:22" ht="24.75" customHeight="1">
      <c r="A24" s="75"/>
      <c r="B24" s="75" t="s">
        <v>60</v>
      </c>
      <c r="C24" s="75"/>
      <c r="D24" s="75"/>
      <c r="E24" s="75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75"/>
      <c r="S24" s="16"/>
      <c r="V24" s="18"/>
    </row>
    <row r="25" spans="1:31" ht="24.75" customHeight="1">
      <c r="A25" s="70"/>
      <c r="B25" s="70"/>
      <c r="C25" s="465" t="s">
        <v>71</v>
      </c>
      <c r="D25" s="465"/>
      <c r="E25" s="465"/>
      <c r="F25" s="282">
        <f aca="true" t="shared" si="6" ref="F25:N25">AVERAGE(F26:F28)</f>
        <v>56.83276446471482</v>
      </c>
      <c r="G25" s="282">
        <f t="shared" si="6"/>
        <v>56.29588046793984</v>
      </c>
      <c r="H25" s="282">
        <f t="shared" si="6"/>
        <v>56.60819941359063</v>
      </c>
      <c r="I25" s="282">
        <f t="shared" si="6"/>
        <v>56.57602038314826</v>
      </c>
      <c r="J25" s="282">
        <f t="shared" si="6"/>
        <v>56.65520693298495</v>
      </c>
      <c r="K25" s="282">
        <f t="shared" si="6"/>
        <v>55.308198079659654</v>
      </c>
      <c r="L25" s="282">
        <f t="shared" si="6"/>
        <v>55.82831106555727</v>
      </c>
      <c r="M25" s="282">
        <f t="shared" si="6"/>
        <v>56.06793697873069</v>
      </c>
      <c r="N25" s="282">
        <f t="shared" si="6"/>
        <v>55.898381795765694</v>
      </c>
      <c r="O25" s="282">
        <f>AVERAGE(O26:O28)</f>
        <v>56.56155008112191</v>
      </c>
      <c r="P25" s="282">
        <f>AVERAGE(P26:P28)</f>
        <v>56.56096423574991</v>
      </c>
      <c r="Q25" s="174">
        <f>(((P25/F25)^(1/10))-1)*100</f>
        <v>-0.047927802242531126</v>
      </c>
      <c r="R25" s="4">
        <v>2000</v>
      </c>
      <c r="S25" s="4">
        <v>2001</v>
      </c>
      <c r="T25" s="4">
        <v>2002</v>
      </c>
      <c r="U25" s="4">
        <v>2003</v>
      </c>
      <c r="V25" s="4">
        <v>2004</v>
      </c>
      <c r="W25" s="4">
        <v>2005</v>
      </c>
      <c r="X25" s="4">
        <v>2006</v>
      </c>
      <c r="Y25" s="4">
        <v>2007</v>
      </c>
      <c r="Z25" s="4">
        <v>2008</v>
      </c>
      <c r="AA25" s="4">
        <v>2009</v>
      </c>
      <c r="AB25" s="4">
        <v>2010</v>
      </c>
      <c r="AC25" s="4">
        <v>2011</v>
      </c>
      <c r="AD25" s="4">
        <v>2012</v>
      </c>
      <c r="AE25" s="4">
        <v>2013</v>
      </c>
    </row>
    <row r="26" spans="1:31" ht="24.75" customHeight="1">
      <c r="A26" s="75"/>
      <c r="B26" s="75"/>
      <c r="C26" s="75" t="s">
        <v>156</v>
      </c>
      <c r="D26" s="75"/>
      <c r="E26" s="75"/>
      <c r="F26" s="281">
        <f aca="true" t="shared" si="7" ref="F26:P27">(U26/F$12)*100</f>
        <v>59.159383995663006</v>
      </c>
      <c r="G26" s="281">
        <f t="shared" si="7"/>
        <v>58.28865499777842</v>
      </c>
      <c r="H26" s="281">
        <f t="shared" si="7"/>
        <v>58.35382670828287</v>
      </c>
      <c r="I26" s="281">
        <f t="shared" si="7"/>
        <v>58.32155278271306</v>
      </c>
      <c r="J26" s="281">
        <f t="shared" si="7"/>
        <v>58.40294519129679</v>
      </c>
      <c r="K26" s="281">
        <f t="shared" si="7"/>
        <v>57.013880503285876</v>
      </c>
      <c r="L26" s="281">
        <f t="shared" si="7"/>
        <v>57.36000461957137</v>
      </c>
      <c r="M26" s="281">
        <f t="shared" si="7"/>
        <v>57.60857707810453</v>
      </c>
      <c r="N26" s="281">
        <f t="shared" si="7"/>
        <v>56.80292802580371</v>
      </c>
      <c r="O26" s="281">
        <f t="shared" si="7"/>
        <v>58.11871771441359</v>
      </c>
      <c r="P26" s="281">
        <f t="shared" si="7"/>
        <v>58.076550561394704</v>
      </c>
      <c r="Q26" s="175">
        <f>(((P26/F26)^(1/10))-1)*100</f>
        <v>-0.1845619514013186</v>
      </c>
      <c r="R26" s="8">
        <v>37.9</v>
      </c>
      <c r="S26" s="16">
        <v>40.35</v>
      </c>
      <c r="T26" s="4">
        <v>42.15</v>
      </c>
      <c r="U26" s="4">
        <v>43.65</v>
      </c>
      <c r="V26" s="18">
        <v>45.24</v>
      </c>
      <c r="W26" s="4">
        <v>46.8</v>
      </c>
      <c r="X26" s="4">
        <v>48.67</v>
      </c>
      <c r="Y26" s="4">
        <v>50.57</v>
      </c>
      <c r="Z26" s="4">
        <v>52.59</v>
      </c>
      <c r="AA26" s="4">
        <v>54.8</v>
      </c>
      <c r="AB26" s="4">
        <v>57.46</v>
      </c>
      <c r="AC26" s="4">
        <v>58.82</v>
      </c>
      <c r="AD26" s="4">
        <v>62.33</v>
      </c>
      <c r="AE26" s="4">
        <v>64.76</v>
      </c>
    </row>
    <row r="27" spans="1:31" ht="24.75" customHeight="1">
      <c r="A27" s="70"/>
      <c r="B27" s="70"/>
      <c r="C27" s="70" t="s">
        <v>157</v>
      </c>
      <c r="D27" s="70"/>
      <c r="E27" s="70"/>
      <c r="F27" s="282">
        <f t="shared" si="7"/>
        <v>56.71982176903773</v>
      </c>
      <c r="G27" s="282">
        <f t="shared" si="7"/>
        <v>56.343122967569634</v>
      </c>
      <c r="H27" s="282">
        <f t="shared" si="7"/>
        <v>56.54585558163735</v>
      </c>
      <c r="I27" s="282">
        <f t="shared" si="7"/>
        <v>56.51211073007495</v>
      </c>
      <c r="J27" s="282">
        <f t="shared" si="7"/>
        <v>56.58976298939178</v>
      </c>
      <c r="K27" s="282">
        <f t="shared" si="7"/>
        <v>55.24676460253751</v>
      </c>
      <c r="L27" s="282">
        <f t="shared" si="7"/>
        <v>55.748062883911885</v>
      </c>
      <c r="M27" s="282">
        <f t="shared" si="7"/>
        <v>55.98438816640022</v>
      </c>
      <c r="N27" s="282">
        <f t="shared" si="7"/>
        <v>56.13658969976147</v>
      </c>
      <c r="O27" s="282">
        <f t="shared" si="7"/>
        <v>56.4776308673517</v>
      </c>
      <c r="P27" s="282">
        <f t="shared" si="7"/>
        <v>55.04537791010511</v>
      </c>
      <c r="Q27" s="174">
        <f>(((P27/F27)^(1/10))-1)*100</f>
        <v>-0.2992098917840136</v>
      </c>
      <c r="R27" s="8">
        <v>35.1</v>
      </c>
      <c r="S27" s="16">
        <v>37.95</v>
      </c>
      <c r="T27" s="4">
        <v>40.1</v>
      </c>
      <c r="U27" s="4">
        <v>41.85</v>
      </c>
      <c r="V27" s="18">
        <v>43.73</v>
      </c>
      <c r="W27" s="4">
        <v>45.35</v>
      </c>
      <c r="X27" s="4">
        <v>47.16</v>
      </c>
      <c r="Y27" s="4">
        <v>49</v>
      </c>
      <c r="Z27" s="4">
        <v>50.96</v>
      </c>
      <c r="AA27" s="4">
        <v>53.26</v>
      </c>
      <c r="AB27" s="4">
        <v>55.84</v>
      </c>
      <c r="AC27" s="4">
        <v>58.13</v>
      </c>
      <c r="AD27" s="4">
        <v>60.57</v>
      </c>
      <c r="AE27" s="4">
        <v>61.38</v>
      </c>
    </row>
    <row r="28" spans="1:30" ht="24.75" customHeight="1">
      <c r="A28" s="75"/>
      <c r="B28" s="75"/>
      <c r="C28" s="75" t="s">
        <v>483</v>
      </c>
      <c r="D28" s="75"/>
      <c r="E28" s="75"/>
      <c r="F28" s="281">
        <f aca="true" t="shared" si="8" ref="F28:O28">(U28/F$12)*100</f>
        <v>54.61908762944373</v>
      </c>
      <c r="G28" s="281">
        <f t="shared" si="8"/>
        <v>54.25586343847147</v>
      </c>
      <c r="H28" s="281">
        <f t="shared" si="8"/>
        <v>54.924915950851705</v>
      </c>
      <c r="I28" s="281">
        <f t="shared" si="8"/>
        <v>54.89439763665678</v>
      </c>
      <c r="J28" s="281">
        <f t="shared" si="8"/>
        <v>54.9729126182663</v>
      </c>
      <c r="K28" s="281">
        <f t="shared" si="8"/>
        <v>53.663949133155555</v>
      </c>
      <c r="L28" s="281">
        <f t="shared" si="8"/>
        <v>54.376865693188556</v>
      </c>
      <c r="M28" s="281">
        <f t="shared" si="8"/>
        <v>54.610845691687324</v>
      </c>
      <c r="N28" s="281">
        <f t="shared" si="8"/>
        <v>54.7556276617319</v>
      </c>
      <c r="O28" s="281">
        <f t="shared" si="8"/>
        <v>55.08830166160044</v>
      </c>
      <c r="P28" s="201" t="s">
        <v>55</v>
      </c>
      <c r="Q28" s="201" t="s">
        <v>55</v>
      </c>
      <c r="R28" s="8">
        <v>32.7</v>
      </c>
      <c r="S28" s="16">
        <v>35.85</v>
      </c>
      <c r="T28" s="4">
        <v>38.3</v>
      </c>
      <c r="U28" s="4">
        <v>40.3</v>
      </c>
      <c r="V28" s="18">
        <v>42.11</v>
      </c>
      <c r="W28" s="4">
        <v>44.05</v>
      </c>
      <c r="X28" s="4">
        <v>45.81</v>
      </c>
      <c r="Y28" s="4">
        <v>47.6</v>
      </c>
      <c r="Z28" s="4">
        <v>49.5</v>
      </c>
      <c r="AA28" s="4">
        <v>51.95</v>
      </c>
      <c r="AB28" s="4">
        <v>54.47</v>
      </c>
      <c r="AC28" s="4">
        <v>56.7</v>
      </c>
      <c r="AD28" s="4">
        <v>59.08</v>
      </c>
    </row>
    <row r="29" spans="1:31" ht="24.75" customHeight="1">
      <c r="A29" s="122" t="s">
        <v>557</v>
      </c>
      <c r="B29" s="79"/>
      <c r="C29" s="79"/>
      <c r="D29" s="79"/>
      <c r="E29" s="79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143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</row>
    <row r="30" spans="1:31" ht="24.75" customHeight="1">
      <c r="A30" s="75"/>
      <c r="B30" s="75" t="s">
        <v>158</v>
      </c>
      <c r="C30" s="84"/>
      <c r="D30" s="84"/>
      <c r="E30" s="84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175"/>
      <c r="S30" s="1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</row>
    <row r="31" spans="1:31" ht="24.75" customHeight="1">
      <c r="A31" s="70"/>
      <c r="B31" s="70" t="s">
        <v>29</v>
      </c>
      <c r="C31" s="85"/>
      <c r="D31" s="85"/>
      <c r="E31" s="85"/>
      <c r="F31" s="282">
        <f>('C4 (Pág. 17)'!F40/'C5 (Pág. 21)'!F$18)*100</f>
        <v>2440743.975142605</v>
      </c>
      <c r="G31" s="282">
        <f>('C4 (Pág. 17)'!G40/'C5 (Pág. 21)'!G$18)*100</f>
        <v>2375488.4587737247</v>
      </c>
      <c r="H31" s="282">
        <f>('C4 (Pág. 17)'!H40/'C5 (Pág. 21)'!H$18)*100</f>
        <v>2306190.1334632216</v>
      </c>
      <c r="I31" s="282">
        <f>('C4 (Pág. 17)'!I40/'C5 (Pág. 21)'!I$18)*100</f>
        <v>2476183.256800492</v>
      </c>
      <c r="J31" s="282">
        <f>('C4 (Pág. 17)'!J40/'C5 (Pág. 21)'!J$18)*100</f>
        <v>2609676.323677314</v>
      </c>
      <c r="K31" s="282">
        <f>('C4 (Pág. 17)'!K40/'C5 (Pág. 21)'!K$18)*100</f>
        <v>3125164.40019123</v>
      </c>
      <c r="L31" s="282">
        <f>('C4 (Pág. 17)'!L40/'C5 (Pág. 21)'!L$18)*100</f>
        <v>3880563.95993843</v>
      </c>
      <c r="M31" s="282">
        <f>('C4 (Pág. 17)'!M40/'C5 (Pág. 21)'!M$18)*100</f>
        <v>3999576.793550736</v>
      </c>
      <c r="N31" s="282">
        <f>('C4 (Pág. 17)'!N40/'C5 (Pág. 21)'!N$18)*100</f>
        <v>4461920.054092803</v>
      </c>
      <c r="O31" s="282">
        <f>('C4 (Pág. 17)'!O40/'C5 (Pág. 21)'!O$18)*100</f>
        <v>4684440.975703484</v>
      </c>
      <c r="P31" s="282">
        <f>('C4 (Pág. 17)'!P40/'C5 (Pág. 21)'!P$18)*100</f>
        <v>5150184.331874652</v>
      </c>
      <c r="Q31" s="174">
        <f>(((P31/F31)^(1/10))-1)*100</f>
        <v>7.753169793012593</v>
      </c>
      <c r="S31" s="16"/>
      <c r="U31" s="345"/>
      <c r="V31" s="345"/>
      <c r="W31" s="345"/>
      <c r="X31" s="345"/>
      <c r="Y31" s="345"/>
      <c r="Z31" s="345"/>
      <c r="AA31" s="345"/>
      <c r="AB31" s="345"/>
      <c r="AC31" s="345"/>
      <c r="AD31" s="347"/>
      <c r="AE31" s="347"/>
    </row>
    <row r="32" spans="1:22" ht="24.75" customHeight="1">
      <c r="A32" s="75"/>
      <c r="B32" s="75"/>
      <c r="C32" s="75" t="s">
        <v>254</v>
      </c>
      <c r="D32" s="75"/>
      <c r="E32" s="75"/>
      <c r="F32" s="281">
        <f>('C4 (Pág. 17)'!F41/'C5 (Pág. 21)'!F$18)*100</f>
        <v>1387581.399162424</v>
      </c>
      <c r="G32" s="281">
        <f>('C4 (Pág. 17)'!G41/'C5 (Pág. 21)'!G$18)*100</f>
        <v>1386695.0990979113</v>
      </c>
      <c r="H32" s="281">
        <f>('C4 (Pág. 17)'!H41/'C5 (Pág. 21)'!H$18)*100</f>
        <v>1481742.5990954186</v>
      </c>
      <c r="I32" s="281">
        <f>('C4 (Pág. 17)'!I41/'C5 (Pág. 21)'!I$18)*100</f>
        <v>1886594.4637796597</v>
      </c>
      <c r="J32" s="281">
        <f>('C4 (Pág. 17)'!J41/'C5 (Pág. 21)'!J$18)*100</f>
        <v>2036314.8055760916</v>
      </c>
      <c r="K32" s="281">
        <f>('C4 (Pág. 17)'!K41/'C5 (Pág. 21)'!K$18)*100</f>
        <v>2425233.1001484003</v>
      </c>
      <c r="L32" s="281">
        <f>('C4 (Pág. 17)'!L41/'C5 (Pág. 21)'!L$18)*100</f>
        <v>2750488.885199447</v>
      </c>
      <c r="M32" s="281">
        <f>('C4 (Pág. 17)'!M41/'C5 (Pág. 21)'!M$18)*100</f>
        <v>2826599.5065244273</v>
      </c>
      <c r="N32" s="281">
        <f>('C4 (Pág. 17)'!N41/'C5 (Pág. 21)'!N$18)*100</f>
        <v>3030077.9815199496</v>
      </c>
      <c r="O32" s="281">
        <f>('C4 (Pág. 17)'!O41/'C5 (Pág. 21)'!O$18)*100</f>
        <v>3290470.5995203005</v>
      </c>
      <c r="P32" s="281">
        <f>('C4 (Pág. 17)'!P41/'C5 (Pág. 21)'!P$18)*100</f>
        <v>3682043.9047064655</v>
      </c>
      <c r="Q32" s="175">
        <f>(((P32/F32)^(1/10))-1)*100</f>
        <v>10.25112998578761</v>
      </c>
      <c r="S32" s="16"/>
      <c r="V32" s="18"/>
    </row>
    <row r="33" spans="1:22" ht="24.75" customHeight="1">
      <c r="A33" s="70"/>
      <c r="B33" s="70"/>
      <c r="C33" s="70" t="s">
        <v>159</v>
      </c>
      <c r="D33" s="70"/>
      <c r="E33" s="70"/>
      <c r="F33" s="282">
        <f>('C4 (Pág. 17)'!F42/'C5 (Pág. 21)'!F$18)*100</f>
        <v>1053162.5759801813</v>
      </c>
      <c r="G33" s="282">
        <f>('C4 (Pág. 17)'!G42/'C5 (Pág. 21)'!G$18)*100</f>
        <v>988793.3596758133</v>
      </c>
      <c r="H33" s="282">
        <f>('C4 (Pág. 17)'!H42/'C5 (Pág. 21)'!H$18)*100</f>
        <v>824447.534367803</v>
      </c>
      <c r="I33" s="282">
        <f>('C4 (Pág. 17)'!I42/'C5 (Pág. 21)'!I$18)*100</f>
        <v>589588.7930208319</v>
      </c>
      <c r="J33" s="282">
        <f>('C4 (Pág. 17)'!J42/'C5 (Pág. 21)'!J$18)*100</f>
        <v>573361.5181012218</v>
      </c>
      <c r="K33" s="282">
        <f>('C4 (Pág. 17)'!K42/'C5 (Pág. 21)'!K$18)*100</f>
        <v>699931.3000428289</v>
      </c>
      <c r="L33" s="282">
        <f>('C4 (Pág. 17)'!L42/'C5 (Pág. 21)'!L$18)*100</f>
        <v>1130075.074738983</v>
      </c>
      <c r="M33" s="282">
        <f>('C4 (Pág. 17)'!M42/'C5 (Pág. 21)'!M$18)*100</f>
        <v>1172977.2870263078</v>
      </c>
      <c r="N33" s="282">
        <f>('C4 (Pág. 17)'!N42/'C5 (Pág. 21)'!N$18)*100</f>
        <v>1431842.0725728539</v>
      </c>
      <c r="O33" s="282">
        <f>('C4 (Pág. 17)'!O42/'C5 (Pág. 21)'!O$18)*100</f>
        <v>1393970.3761831839</v>
      </c>
      <c r="P33" s="282">
        <f>('C4 (Pág. 17)'!P42/'C5 (Pág. 21)'!P$18)*100</f>
        <v>1468140.427168187</v>
      </c>
      <c r="Q33" s="174">
        <f>(((P33/F33)^(1/10))-1)*100</f>
        <v>3.3777838902141255</v>
      </c>
      <c r="S33" s="16"/>
      <c r="V33" s="18"/>
    </row>
    <row r="34" spans="1:22" ht="24.75" customHeight="1">
      <c r="A34" s="75"/>
      <c r="B34" s="75" t="s">
        <v>160</v>
      </c>
      <c r="C34" s="75"/>
      <c r="D34" s="75"/>
      <c r="E34" s="75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175"/>
      <c r="S34" s="16"/>
      <c r="V34" s="18"/>
    </row>
    <row r="35" spans="1:22" ht="24.75" customHeight="1">
      <c r="A35" s="75"/>
      <c r="B35" s="75" t="s">
        <v>29</v>
      </c>
      <c r="C35" s="75"/>
      <c r="D35" s="75"/>
      <c r="E35" s="75"/>
      <c r="F35" s="281">
        <f>('C4 (Pág. 17)'!F44/'C5 (Pág. 21)'!F$18)*100</f>
        <v>2160123.446147786</v>
      </c>
      <c r="G35" s="281">
        <f>('C4 (Pág. 17)'!G44/'C5 (Pág. 21)'!G$18)*100</f>
        <v>2207103.730806496</v>
      </c>
      <c r="H35" s="281">
        <f>('C4 (Pág. 17)'!H44/'C5 (Pág. 21)'!H$18)*100</f>
        <v>2302487.365689748</v>
      </c>
      <c r="I35" s="281">
        <f>('C4 (Pág. 17)'!I44/'C5 (Pág. 21)'!I$18)*100</f>
        <v>2517187.9315840025</v>
      </c>
      <c r="J35" s="281">
        <f>('C4 (Pág. 17)'!J44/'C5 (Pág. 21)'!J$18)*100</f>
        <v>2634963.3465244127</v>
      </c>
      <c r="K35" s="281">
        <f>('C4 (Pág. 17)'!K44/'C5 (Pág. 21)'!K$18)*100</f>
        <v>2860926.40017506</v>
      </c>
      <c r="L35" s="281">
        <f>('C4 (Pág. 17)'!L44/'C5 (Pág. 21)'!L$18)*100</f>
        <v>2720947.350205628</v>
      </c>
      <c r="M35" s="281">
        <f>('C4 (Pág. 17)'!M44/'C5 (Pág. 21)'!M$18)*100</f>
        <v>2736571.4586700187</v>
      </c>
      <c r="N35" s="281">
        <f>('C4 (Pág. 17)'!N44/'C5 (Pág. 21)'!N$18)*100</f>
        <v>2875595.553460751</v>
      </c>
      <c r="O35" s="281">
        <f>('C4 (Pág. 17)'!O44/'C5 (Pág. 21)'!O$18)*100</f>
        <v>2995125.418624217</v>
      </c>
      <c r="P35" s="281">
        <f>('C4 (Pág. 17)'!P44/'C5 (Pág. 21)'!P$18)*100</f>
        <v>3173890.3885265524</v>
      </c>
      <c r="Q35" s="175">
        <f>(((P35/F35)^(1/10))-1)*100</f>
        <v>3.9229186605019617</v>
      </c>
      <c r="S35" s="16"/>
      <c r="V35" s="18"/>
    </row>
    <row r="36" spans="1:22" ht="24.75" customHeight="1">
      <c r="A36" s="85"/>
      <c r="B36" s="85"/>
      <c r="C36" s="85" t="s">
        <v>161</v>
      </c>
      <c r="D36" s="85"/>
      <c r="E36" s="85"/>
      <c r="F36" s="282">
        <f>('C4 (Pág. 17)'!F45/'C5 (Pág. 21)'!F$18)*100</f>
        <v>1529053.6517514319</v>
      </c>
      <c r="G36" s="282">
        <f>('C4 (Pág. 17)'!G45/'C5 (Pág. 21)'!G$18)*100</f>
        <v>1582716.1876316594</v>
      </c>
      <c r="H36" s="282">
        <f>('C4 (Pág. 17)'!H45/'C5 (Pág. 21)'!H$18)*100</f>
        <v>1669703.101095107</v>
      </c>
      <c r="I36" s="282">
        <f>('C4 (Pág. 17)'!I45/'C5 (Pág. 21)'!I$18)*100</f>
        <v>1733437.1583600019</v>
      </c>
      <c r="J36" s="282">
        <f>('C4 (Pág. 17)'!J45/'C5 (Pág. 21)'!J$18)*100</f>
        <v>1813915.2732138885</v>
      </c>
      <c r="K36" s="282">
        <f>('C4 (Pág. 17)'!K45/'C5 (Pág. 21)'!K$18)*100</f>
        <v>2049936.300125436</v>
      </c>
      <c r="L36" s="282">
        <f>('C4 (Pág. 17)'!L45/'C5 (Pág. 21)'!L$18)*100</f>
        <v>1932110.596522268</v>
      </c>
      <c r="M36" s="282">
        <f>('C4 (Pág. 17)'!M45/'C5 (Pág. 21)'!M$18)*100</f>
        <v>1922720.4203771537</v>
      </c>
      <c r="N36" s="282">
        <f>('C4 (Pág. 17)'!N45/'C5 (Pág. 21)'!N$18)*100</f>
        <v>2039716.7649443655</v>
      </c>
      <c r="O36" s="282">
        <f>('C4 (Pág. 17)'!O45/'C5 (Pág. 21)'!O$18)*100</f>
        <v>2090079.5752077317</v>
      </c>
      <c r="P36" s="282">
        <f>('C4 (Pág. 17)'!P45/'C5 (Pág. 21)'!P$18)*100</f>
        <v>2257871.8343169503</v>
      </c>
      <c r="Q36" s="174">
        <f>(((P36/F36)^(1/10))-1)*100</f>
        <v>3.974695262489236</v>
      </c>
      <c r="S36" s="16"/>
      <c r="V36" s="18"/>
    </row>
    <row r="37" spans="1:22" ht="24.75" customHeight="1">
      <c r="A37" s="84"/>
      <c r="B37" s="75"/>
      <c r="C37" s="75" t="s">
        <v>162</v>
      </c>
      <c r="D37" s="75"/>
      <c r="E37" s="75"/>
      <c r="F37" s="281">
        <f>('C4 (Pág. 17)'!F46/'C5 (Pág. 21)'!F$18)*100</f>
        <v>631069.7943963541</v>
      </c>
      <c r="G37" s="281">
        <f>('C4 (Pág. 17)'!G46/'C5 (Pág. 21)'!G$18)*100</f>
        <v>624387.5431748362</v>
      </c>
      <c r="H37" s="281">
        <f>('C4 (Pág. 17)'!H46/'C5 (Pág. 21)'!H$18)*100</f>
        <v>632784.2645946409</v>
      </c>
      <c r="I37" s="281">
        <f>('C4 (Pág. 17)'!I46/'C5 (Pág. 21)'!I$18)*100</f>
        <v>783750.7732240008</v>
      </c>
      <c r="J37" s="281">
        <f>('C4 (Pág. 17)'!J46/'C5 (Pág. 21)'!J$18)*100</f>
        <v>821048.0733105241</v>
      </c>
      <c r="K37" s="281">
        <f>('C4 (Pág. 17)'!K46/'C5 (Pág. 21)'!K$18)*100</f>
        <v>810990.1000496246</v>
      </c>
      <c r="L37" s="281">
        <f>('C4 (Pág. 17)'!L46/'C5 (Pág. 21)'!L$18)*100</f>
        <v>788836.7536833603</v>
      </c>
      <c r="M37" s="281">
        <f>('C4 (Pág. 17)'!M46/'C5 (Pág. 21)'!M$18)*100</f>
        <v>813851.0382928652</v>
      </c>
      <c r="N37" s="281">
        <f>('C4 (Pág. 17)'!N46/'C5 (Pág. 21)'!N$18)*100</f>
        <v>835878.788516386</v>
      </c>
      <c r="O37" s="281">
        <f>('C4 (Pág. 17)'!O46/'C5 (Pág. 21)'!O$18)*100</f>
        <v>905045.9286377196</v>
      </c>
      <c r="P37" s="281">
        <f>('C4 (Pág. 17)'!P46/'C5 (Pág. 21)'!P$18)*100</f>
        <v>916018.5542096025</v>
      </c>
      <c r="Q37" s="175">
        <f>(((P37/F37)^(1/10))-1)*100</f>
        <v>3.796494806974726</v>
      </c>
      <c r="S37" s="16"/>
      <c r="V37" s="18"/>
    </row>
    <row r="38" spans="1:22" ht="24.75" customHeight="1">
      <c r="A38" s="84"/>
      <c r="B38" s="84" t="s">
        <v>255</v>
      </c>
      <c r="C38" s="84"/>
      <c r="D38" s="84"/>
      <c r="E38" s="84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175"/>
      <c r="S38" s="16"/>
      <c r="V38" s="18"/>
    </row>
    <row r="39" spans="1:22" ht="24.75" customHeight="1">
      <c r="A39" s="85"/>
      <c r="B39" s="70" t="s">
        <v>29</v>
      </c>
      <c r="C39" s="85"/>
      <c r="D39" s="85"/>
      <c r="E39" s="85"/>
      <c r="F39" s="282">
        <f>('C4 (Pág. 17)'!F48/'C5 (Pág. 21)'!F$18)*100</f>
        <v>2254872.7109013</v>
      </c>
      <c r="G39" s="282">
        <f>('C4 (Pág. 17)'!G48/'C5 (Pág. 21)'!G$18)*100</f>
        <v>2246099.3637435096</v>
      </c>
      <c r="H39" s="282">
        <f>('C4 (Pág. 17)'!H48/'C5 (Pág. 21)'!H$18)*100</f>
        <v>2340304.3225849834</v>
      </c>
      <c r="I39" s="282">
        <f>('C4 (Pág. 17)'!I48/'C5 (Pág. 21)'!I$18)*100</f>
        <v>2524923.416365313</v>
      </c>
      <c r="J39" s="282">
        <f>('C4 (Pág. 17)'!J48/'C5 (Pág. 21)'!J$18)*100</f>
        <v>2648947.773795174</v>
      </c>
      <c r="K39" s="282">
        <f>('C4 (Pág. 17)'!K48/'C5 (Pág. 21)'!K$18)*100</f>
        <v>2894806.5001771334</v>
      </c>
      <c r="L39" s="282">
        <f>('C4 (Pág. 17)'!L48/'C5 (Pág. 21)'!L$18)*100</f>
        <v>3007685.5068638646</v>
      </c>
      <c r="M39" s="282">
        <f>('C4 (Pág. 17)'!M48/'C5 (Pág. 21)'!M$18)*100</f>
        <v>3101557.900766206</v>
      </c>
      <c r="N39" s="282">
        <f>('C4 (Pág. 17)'!N48/'C5 (Pág. 21)'!N$18)*100</f>
        <v>3184407.270938267</v>
      </c>
      <c r="O39" s="282">
        <f>('C4 (Pág. 17)'!O48/'C5 (Pág. 21)'!O$18)*100</f>
        <v>3318588.408333556</v>
      </c>
      <c r="P39" s="282">
        <f>('C4 (Pág. 17)'!P48/'C5 (Pág. 21)'!P$18)*100</f>
        <v>3475946.903887456</v>
      </c>
      <c r="Q39" s="174">
        <f>(((P39/F39)^(1/10))-1)*100</f>
        <v>4.422746161135982</v>
      </c>
      <c r="S39" s="16"/>
      <c r="V39" s="18"/>
    </row>
    <row r="40" spans="1:22" ht="24.75" customHeight="1">
      <c r="A40" s="84"/>
      <c r="B40" s="75"/>
      <c r="C40" s="75" t="s">
        <v>256</v>
      </c>
      <c r="D40" s="75"/>
      <c r="E40" s="75"/>
      <c r="F40" s="281">
        <f>('C4 (Pág. 17)'!F49/'C5 (Pág. 21)'!F$18)*100</f>
        <v>1675979.960640759</v>
      </c>
      <c r="G40" s="281">
        <f>('C4 (Pág. 17)'!G49/'C5 (Pág. 21)'!G$18)*100</f>
        <v>1653417.3285815883</v>
      </c>
      <c r="H40" s="281">
        <f>('C4 (Pág. 17)'!H49/'C5 (Pág. 21)'!H$18)*100</f>
        <v>1746376.8963854897</v>
      </c>
      <c r="I40" s="281">
        <f>('C4 (Pág. 17)'!I49/'C5 (Pág. 21)'!I$18)*100</f>
        <v>1858391.8928741787</v>
      </c>
      <c r="J40" s="281">
        <f>('C4 (Pág. 17)'!J49/'C5 (Pág. 21)'!J$18)*100</f>
        <v>2026023.9919571958</v>
      </c>
      <c r="K40" s="281">
        <f>('C4 (Pág. 17)'!K49/'C5 (Pág. 21)'!K$18)*100</f>
        <v>2229154.5001364024</v>
      </c>
      <c r="L40" s="281">
        <f>('C4 (Pág. 17)'!L49/'C5 (Pág. 21)'!L$18)*100</f>
        <v>2375586.7321321443</v>
      </c>
      <c r="M40" s="281">
        <f>('C4 (Pág. 17)'!M49/'C5 (Pág. 21)'!M$18)*100</f>
        <v>2440938.5876927236</v>
      </c>
      <c r="N40" s="281">
        <f>('C4 (Pág. 17)'!N49/'C5 (Pág. 21)'!N$18)*100</f>
        <v>2536119.8890240123</v>
      </c>
      <c r="O40" s="281">
        <f>('C4 (Pág. 17)'!O49/'C5 (Pág. 21)'!O$18)*100</f>
        <v>2660656.61783653</v>
      </c>
      <c r="P40" s="281">
        <f>('C4 (Pág. 17)'!P49/'C5 (Pág. 21)'!P$18)*100</f>
        <v>2792324.503849705</v>
      </c>
      <c r="Q40" s="175">
        <f>(((P40/F40)^(1/10))-1)*100</f>
        <v>5.237302283827816</v>
      </c>
      <c r="S40" s="16"/>
      <c r="V40" s="18"/>
    </row>
    <row r="41" spans="1:22" ht="24.75" customHeight="1">
      <c r="A41" s="85"/>
      <c r="B41" s="70"/>
      <c r="C41" s="70" t="s">
        <v>135</v>
      </c>
      <c r="D41" s="70"/>
      <c r="E41" s="70"/>
      <c r="F41" s="282">
        <f>('C4 (Pág. 17)'!F50/'C5 (Pág. 21)'!F$18)*100</f>
        <v>578892.7502605413</v>
      </c>
      <c r="G41" s="282">
        <f>('C4 (Pág. 17)'!G50/'C5 (Pág. 21)'!G$18)*100</f>
        <v>592682.0351619209</v>
      </c>
      <c r="H41" s="282">
        <f>('C4 (Pág. 17)'!H50/'C5 (Pág. 21)'!H$18)*100</f>
        <v>593927.4261994935</v>
      </c>
      <c r="I41" s="282">
        <f>('C4 (Pág. 17)'!I50/'C5 (Pág. 21)'!I$18)*100</f>
        <v>666531.5234911337</v>
      </c>
      <c r="J41" s="282">
        <f>('C4 (Pág. 17)'!J50/'C5 (Pág. 21)'!J$18)*100</f>
        <v>622923.7818379782</v>
      </c>
      <c r="K41" s="282">
        <f>('C4 (Pág. 17)'!K50/'C5 (Pág. 21)'!K$18)*100</f>
        <v>665652.0000407313</v>
      </c>
      <c r="L41" s="282">
        <f>('C4 (Pág. 17)'!L50/'C5 (Pág. 21)'!L$18)*100</f>
        <v>632098.7747317206</v>
      </c>
      <c r="M41" s="282">
        <f>('C4 (Pág. 17)'!M50/'C5 (Pág. 21)'!M$18)*100</f>
        <v>660619.3130734826</v>
      </c>
      <c r="N41" s="282">
        <f>('C4 (Pág. 17)'!N50/'C5 (Pág. 21)'!N$18)*100</f>
        <v>648287.3819142549</v>
      </c>
      <c r="O41" s="282">
        <f>('C4 (Pág. 17)'!O50/'C5 (Pág. 21)'!O$18)*100</f>
        <v>657931.7904970258</v>
      </c>
      <c r="P41" s="282">
        <f>('C4 (Pág. 17)'!P50/'C5 (Pág. 21)'!P$18)*100</f>
        <v>683622.4000377507</v>
      </c>
      <c r="Q41" s="174">
        <f>(((P41/F41)^(1/10))-1)*100</f>
        <v>1.676787794731327</v>
      </c>
      <c r="S41" s="16"/>
      <c r="V41" s="18"/>
    </row>
    <row r="42" spans="1:22" ht="24.75" customHeight="1">
      <c r="A42" s="75"/>
      <c r="B42" s="75" t="s">
        <v>444</v>
      </c>
      <c r="C42" s="75"/>
      <c r="D42" s="75"/>
      <c r="E42" s="75"/>
      <c r="F42" s="152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201"/>
      <c r="S42" s="16"/>
      <c r="V42" s="18"/>
    </row>
    <row r="43" spans="1:22" ht="24.75" customHeight="1">
      <c r="A43" s="70"/>
      <c r="B43" s="70" t="s">
        <v>29</v>
      </c>
      <c r="C43" s="70"/>
      <c r="D43" s="70"/>
      <c r="E43" s="70"/>
      <c r="F43" s="153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82"/>
      <c r="S43" s="16"/>
      <c r="V43" s="18"/>
    </row>
    <row r="44" spans="1:22" ht="24.75" customHeight="1">
      <c r="A44" s="84"/>
      <c r="B44" s="75"/>
      <c r="C44" s="75" t="s">
        <v>445</v>
      </c>
      <c r="D44" s="75"/>
      <c r="E44" s="75"/>
      <c r="F44" s="299">
        <f>('C4 (Pág. 17)'!F53/'C5 (Pág. 21)'!F$18)*100</f>
        <v>-56607.44426020071</v>
      </c>
      <c r="G44" s="299">
        <f>('C4 (Pág. 17)'!G53/'C5 (Pág. 21)'!G$18)*100</f>
        <v>-22200.696292349203</v>
      </c>
      <c r="H44" s="299">
        <f>('C4 (Pág. 17)'!H53/'C5 (Pág. 21)'!H$18)*100</f>
        <v>-14071.912401277505</v>
      </c>
      <c r="I44" s="299">
        <f>('C4 (Pág. 17)'!I53/'C5 (Pág. 21)'!I$18)*100</f>
        <v>10130.124516807891</v>
      </c>
      <c r="J44" s="299">
        <f>('C4 (Pág. 17)'!J53/'C5 (Pág. 21)'!J$18)*100</f>
        <v>7855.540838354497</v>
      </c>
      <c r="K44" s="299">
        <f>('C4 (Pág. 17)'!K53/'C5 (Pág. 21)'!K$18)*100</f>
        <v>-11051.900000676267</v>
      </c>
      <c r="L44" s="299">
        <f>('C4 (Pág. 17)'!L53/'C5 (Pág. 21)'!L$18)*100</f>
        <v>-261884.61052721256</v>
      </c>
      <c r="M44" s="299">
        <f>('C4 (Pág. 17)'!M53/'C5 (Pág. 21)'!M$18)*100</f>
        <v>-339239.9900054367</v>
      </c>
      <c r="N44" s="299">
        <f>('C4 (Pág. 17)'!N53/'C5 (Pág. 21)'!N$18)*100</f>
        <v>-314197.7669892807</v>
      </c>
      <c r="O44" s="280">
        <f>('C4 (Pág. 17)'!O53/'C5 (Pág. 21)'!O$18)*100</f>
        <v>-341437.59677751025</v>
      </c>
      <c r="P44" s="280">
        <f>('C4 (Pág. 17)'!P53/'C5 (Pág. 21)'!P$18)*100</f>
        <v>-310056.7674851419</v>
      </c>
      <c r="Q44" s="201" t="s">
        <v>55</v>
      </c>
      <c r="S44" s="16"/>
      <c r="V44" s="18"/>
    </row>
    <row r="45" spans="1:22" ht="24.75" customHeight="1">
      <c r="A45" s="85"/>
      <c r="B45" s="70"/>
      <c r="C45" s="70" t="s">
        <v>443</v>
      </c>
      <c r="D45" s="70"/>
      <c r="E45" s="70"/>
      <c r="F45" s="282">
        <f>('C4 (Pág. 17)'!F54/'C5 (Pág. 21)'!F$18)*100</f>
        <v>200829.73533265706</v>
      </c>
      <c r="G45" s="282">
        <f>('C4 (Pág. 17)'!G54/'C5 (Pág. 21)'!G$18)*100</f>
        <v>235513.88588608243</v>
      </c>
      <c r="H45" s="282">
        <f>('C4 (Pág. 17)'!H54/'C5 (Pág. 21)'!H$18)*100</f>
        <v>234385.5310451001</v>
      </c>
      <c r="I45" s="282">
        <f>('C4 (Pág. 17)'!I54/'C5 (Pág. 21)'!I$18)*100</f>
        <v>288209.2484405329</v>
      </c>
      <c r="J45" s="282">
        <f>('C4 (Pág. 17)'!J54/'C5 (Pág. 21)'!J$18)*100</f>
        <v>261151.8943453763</v>
      </c>
      <c r="K45" s="282">
        <f>('C4 (Pág. 17)'!K54/'C5 (Pág. 21)'!K$18)*100</f>
        <v>216060.70001322078</v>
      </c>
      <c r="L45" s="282">
        <f>('C4 (Pág. 17)'!L54/'C5 (Pág. 21)'!L$18)*100</f>
        <v>-8050.074080849085</v>
      </c>
      <c r="M45" s="282">
        <f>('C4 (Pág. 17)'!M54/'C5 (Pág. 21)'!M$18)*100</f>
        <v>-102825.33616163816</v>
      </c>
      <c r="N45" s="282">
        <f>('C4 (Pág. 17)'!N54/'C5 (Pág. 21)'!N$18)*100</f>
        <v>-73385.67182996849</v>
      </c>
      <c r="O45" s="282">
        <f>('C4 (Pág. 17)'!O54/'C5 (Pág. 21)'!O$18)*100</f>
        <v>-81411.75987529187</v>
      </c>
      <c r="P45" s="282">
        <f>('C4 (Pág. 17)'!P54/'C5 (Pág. 21)'!P$18)*100</f>
        <v>-47361.37565547701</v>
      </c>
      <c r="Q45" s="146" t="s">
        <v>55</v>
      </c>
      <c r="S45" s="16"/>
      <c r="V45" s="18"/>
    </row>
    <row r="46" spans="1:22" ht="24.75" customHeight="1">
      <c r="A46" s="84"/>
      <c r="B46" s="84" t="s">
        <v>257</v>
      </c>
      <c r="C46" s="84"/>
      <c r="D46" s="84"/>
      <c r="E46" s="84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175"/>
      <c r="S46" s="16"/>
      <c r="V46" s="18"/>
    </row>
    <row r="47" spans="1:22" ht="24.75" customHeight="1">
      <c r="A47" s="85"/>
      <c r="B47" s="70" t="s">
        <v>29</v>
      </c>
      <c r="C47" s="85"/>
      <c r="D47" s="85"/>
      <c r="E47" s="85"/>
      <c r="F47" s="282">
        <f>('C4 (Pág. 18)'!F7/'C5 (Pág. 21)'!F$18)*100</f>
        <v>259041.69485662182</v>
      </c>
      <c r="G47" s="282">
        <f>('C4 (Pág. 18)'!G7/'C5 (Pág. 21)'!G$18)*100</f>
        <v>280234.5335345984</v>
      </c>
      <c r="H47" s="282">
        <f>('C4 (Pág. 18)'!H7/'C5 (Pág. 21)'!H$18)*100</f>
        <v>299502.2048639524</v>
      </c>
      <c r="I47" s="282">
        <f>('C4 (Pág. 18)'!I7/'C5 (Pág. 21)'!I$18)*100</f>
        <v>326551.4493615658</v>
      </c>
      <c r="J47" s="282">
        <f>('C4 (Pág. 18)'!J7/'C5 (Pág. 21)'!J$18)*100</f>
        <v>367616.2332782505</v>
      </c>
      <c r="K47" s="282">
        <f>('C4 (Pág. 18)'!K7/'C5 (Pág. 21)'!K$18)*100</f>
        <v>387402.5630237052</v>
      </c>
      <c r="L47" s="282">
        <f>('C4 (Pág. 18)'!L7/'C5 (Pág. 21)'!L$18)*100</f>
        <v>543084.6456654742</v>
      </c>
      <c r="M47" s="282">
        <f>('C4 (Pág. 18)'!M7/'C5 (Pág. 21)'!M$18)*100</f>
        <v>557316.0103676412</v>
      </c>
      <c r="N47" s="282">
        <f>('C4 (Pág. 18)'!N7/'C5 (Pág. 21)'!N$18)*100</f>
        <v>581959.4013960519</v>
      </c>
      <c r="O47" s="282">
        <f>('C4 (Pág. 18)'!O7/'C5 (Pág. 21)'!O$18)*100</f>
        <v>578423.4878805305</v>
      </c>
      <c r="P47" s="282">
        <f>('C4 (Pág. 18)'!P7/'C5 (Pág. 21)'!P$18)*100</f>
        <v>625693.5258845285</v>
      </c>
      <c r="Q47" s="174">
        <f>(((P47/F47)^(1/10))-1)*100</f>
        <v>9.21925223711455</v>
      </c>
      <c r="S47" s="16"/>
      <c r="V47" s="18"/>
    </row>
    <row r="48" spans="1:17" ht="24.75" customHeight="1">
      <c r="A48" s="122" t="s">
        <v>558</v>
      </c>
      <c r="B48" s="79"/>
      <c r="C48" s="79"/>
      <c r="D48" s="79"/>
      <c r="E48" s="79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143"/>
    </row>
    <row r="49" spans="1:22" ht="24.75" customHeight="1">
      <c r="A49" s="75"/>
      <c r="B49" s="75" t="s">
        <v>234</v>
      </c>
      <c r="C49" s="84"/>
      <c r="D49" s="84"/>
      <c r="E49" s="75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175"/>
      <c r="S49" s="16"/>
      <c r="V49" s="18"/>
    </row>
    <row r="50" spans="1:22" ht="24.75" customHeight="1">
      <c r="A50" s="75"/>
      <c r="B50" s="75" t="s">
        <v>29</v>
      </c>
      <c r="C50" s="84"/>
      <c r="D50" s="84"/>
      <c r="E50" s="75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175"/>
      <c r="S50" s="16"/>
      <c r="V50" s="18"/>
    </row>
    <row r="51" spans="1:22" ht="24.75" customHeight="1">
      <c r="A51" s="84"/>
      <c r="B51" s="75"/>
      <c r="C51" s="75" t="s">
        <v>20</v>
      </c>
      <c r="D51" s="75"/>
      <c r="E51" s="75"/>
      <c r="F51" s="281">
        <f>('C4 (Pág. 19)'!F51/'C5 (Pág. 21)'!F$18)*100</f>
        <v>1157534.4787033852</v>
      </c>
      <c r="G51" s="281">
        <f>('C4 (Pág. 19)'!G51/'C5 (Pág. 21)'!G$18)*100</f>
        <v>1179488.3096298946</v>
      </c>
      <c r="H51" s="281">
        <f>('C4 (Pág. 19)'!H51/'C5 (Pág. 21)'!H$18)*100</f>
        <v>1263059.432370237</v>
      </c>
      <c r="I51" s="281">
        <f>('C4 (Pág. 19)'!I51/'C5 (Pág. 21)'!I$18)*100</f>
        <v>1355005.3486135958</v>
      </c>
      <c r="J51" s="281">
        <f>('C4 (Pág. 19)'!J51/'C5 (Pág. 21)'!J$18)*100</f>
        <v>1431122.913297135</v>
      </c>
      <c r="K51" s="281">
        <f>('C4 (Pág. 19)'!K51/'C5 (Pág. 21)'!K$18)*100</f>
        <v>1482900.0000907388</v>
      </c>
      <c r="L51" s="281">
        <f>('C4 (Pág. 19)'!L51/'C5 (Pág. 21)'!L$18)*100</f>
        <v>1559443.4912582105</v>
      </c>
      <c r="M51" s="281">
        <f>('C4 (Pág. 19)'!M51/'C5 (Pág. 21)'!M$18)*100</f>
        <v>1694664.0942520243</v>
      </c>
      <c r="N51" s="281">
        <f>('C4 (Pág. 19)'!N51/'C5 (Pág. 21)'!N$18)*100</f>
        <v>1831246.2848398972</v>
      </c>
      <c r="O51" s="281">
        <f>('C4 (Pág. 19)'!O51/'C5 (Pág. 21)'!O$18)*100</f>
        <v>1942958.9200834285</v>
      </c>
      <c r="P51" s="281">
        <f>('C4 (Pág. 19)'!P51/'C5 (Pág. 21)'!P$18)*100</f>
        <v>2099347.191824151</v>
      </c>
      <c r="Q51" s="175">
        <f>(((P51/F51)^(1/10))-1)*100</f>
        <v>6.134122421407406</v>
      </c>
      <c r="S51" s="16"/>
      <c r="V51" s="18"/>
    </row>
    <row r="52" spans="1:22" ht="24.75" customHeight="1">
      <c r="A52" s="85"/>
      <c r="B52" s="70"/>
      <c r="C52" s="70" t="s">
        <v>21</v>
      </c>
      <c r="D52" s="70"/>
      <c r="E52" s="70"/>
      <c r="F52" s="282">
        <f>('C4 (Pág. 19)'!F52/'C5 (Pág. 21)'!F$18)*100</f>
        <v>4667386.3135685995</v>
      </c>
      <c r="G52" s="282">
        <f>('C4 (Pág. 19)'!G52/'C5 (Pág. 21)'!G$18)*100</f>
        <v>4735771.411800486</v>
      </c>
      <c r="H52" s="282">
        <f>('C4 (Pág. 19)'!H52/'C5 (Pág. 21)'!H$18)*100</f>
        <v>5161107.8967446815</v>
      </c>
      <c r="I52" s="282">
        <f>('C4 (Pág. 19)'!I52/'C5 (Pág. 21)'!I$18)*100</f>
        <v>5529333.684785706</v>
      </c>
      <c r="J52" s="282">
        <f>('C4 (Pág. 19)'!J52/'C5 (Pág. 21)'!J$18)*100</f>
        <v>5708061.459013214</v>
      </c>
      <c r="K52" s="282">
        <f>('C4 (Pág. 19)'!K52/'C5 (Pág. 21)'!K$18)*100</f>
        <v>6269900.000383656</v>
      </c>
      <c r="L52" s="282">
        <f>('C4 (Pág. 19)'!L52/'C5 (Pág. 21)'!L$18)*100</f>
        <v>6444366.9061824335</v>
      </c>
      <c r="M52" s="282">
        <f>('C4 (Pág. 19)'!M52/'C5 (Pág. 21)'!M$18)*100</f>
        <v>6662369.493760999</v>
      </c>
      <c r="N52" s="282">
        <f>('C4 (Pág. 19)'!N52/'C5 (Pág. 21)'!N$18)*100</f>
        <v>7090354.236655077</v>
      </c>
      <c r="O52" s="282">
        <f>('C4 (Pág. 19)'!O52/'C5 (Pág. 21)'!O$18)*100</f>
        <v>7442029.503715316</v>
      </c>
      <c r="P52" s="282">
        <f>('C4 (Pág. 19)'!P52/'C5 (Pág. 21)'!P$18)*100</f>
        <v>7939873.711852884</v>
      </c>
      <c r="Q52" s="174">
        <f>(((P52/F52)^(1/10))-1)*100</f>
        <v>5.456653275507839</v>
      </c>
      <c r="S52" s="16"/>
      <c r="V52" s="18"/>
    </row>
    <row r="53" spans="1:22" ht="24.75" customHeight="1">
      <c r="A53" s="84"/>
      <c r="B53" s="75"/>
      <c r="C53" s="75" t="s">
        <v>22</v>
      </c>
      <c r="D53" s="75"/>
      <c r="E53" s="75"/>
      <c r="F53" s="281">
        <f>('C4 (Pág. 19)'!F53/'C5 (Pág. 21)'!F$18)*100</f>
        <v>4713002.106246896</v>
      </c>
      <c r="G53" s="281">
        <f>('C4 (Pág. 19)'!G53/'C5 (Pág. 21)'!G$18)*100</f>
        <v>4846792.337627681</v>
      </c>
      <c r="H53" s="281">
        <f>('C4 (Pág. 19)'!H53/'C5 (Pág. 21)'!H$18)*100</f>
        <v>5323881.208712283</v>
      </c>
      <c r="I53" s="281">
        <f>('C4 (Pág. 19)'!I53/'C5 (Pág. 21)'!I$18)*100</f>
        <v>5726607.339971634</v>
      </c>
      <c r="J53" s="281">
        <f>('C4 (Pág. 19)'!J53/'C5 (Pág. 21)'!J$18)*100</f>
        <v>5986632.7512245225</v>
      </c>
      <c r="K53" s="281">
        <f>('C4 (Pág. 19)'!K53/'C5 (Pág. 21)'!K$18)*100</f>
        <v>6596600.000403646</v>
      </c>
      <c r="L53" s="281">
        <f>('C4 (Pág. 19)'!L53/'C5 (Pág. 21)'!L$18)*100</f>
        <v>6812061.776194822</v>
      </c>
      <c r="M53" s="281">
        <f>('C4 (Pág. 19)'!M53/'C5 (Pág. 21)'!M$18)*100</f>
        <v>7350292.375418314</v>
      </c>
      <c r="N53" s="281">
        <f>('C4 (Pág. 19)'!N53/'C5 (Pág. 21)'!N$18)*100</f>
        <v>8111249.205972236</v>
      </c>
      <c r="O53" s="281">
        <f>('C4 (Pág. 19)'!O53/'C5 (Pág. 21)'!O$18)*100</f>
        <v>9004816.497727768</v>
      </c>
      <c r="P53" s="281">
        <f>('C4 (Pág. 19)'!P53/'C5 (Pág. 21)'!P$18)*100</f>
        <v>9659381.081258863</v>
      </c>
      <c r="Q53" s="175">
        <f>(((P53/F53)^(1/10))-1)*100</f>
        <v>7.439793917351034</v>
      </c>
      <c r="S53" s="16"/>
      <c r="V53" s="18"/>
    </row>
    <row r="54" spans="1:22" ht="24.75" customHeight="1">
      <c r="A54" s="85"/>
      <c r="B54" s="70"/>
      <c r="C54" s="70" t="s">
        <v>23</v>
      </c>
      <c r="D54" s="70"/>
      <c r="E54" s="70"/>
      <c r="F54" s="282">
        <f>('C4 (Pág. 19)'!F54/'C5 (Pág. 21)'!F$18)*100</f>
        <v>4757133.36129365</v>
      </c>
      <c r="G54" s="282">
        <f>('C4 (Pág. 19)'!G54/'C5 (Pág. 21)'!G$18)*100</f>
        <v>4895387.355666522</v>
      </c>
      <c r="H54" s="282">
        <f>('C4 (Pág. 19)'!H54/'C5 (Pág. 21)'!H$18)*100</f>
        <v>5373647.0506428275</v>
      </c>
      <c r="I54" s="282">
        <f>('C4 (Pág. 19)'!I54/'C5 (Pág. 21)'!I$18)*100</f>
        <v>5784099.154927171</v>
      </c>
      <c r="J54" s="282">
        <f>('C4 (Pág. 19)'!J54/'C5 (Pág. 21)'!J$18)*100</f>
        <v>6063271.656958455</v>
      </c>
      <c r="K54" s="282">
        <f>('C4 (Pág. 19)'!K54/'C5 (Pág. 21)'!K$18)*100</f>
        <v>6680600.000408786</v>
      </c>
      <c r="L54" s="282">
        <f>('C4 (Pág. 19)'!L54/'C5 (Pág. 21)'!L$18)*100</f>
        <v>6883340.687166491</v>
      </c>
      <c r="M54" s="282">
        <f>('C4 (Pág. 19)'!M54/'C5 (Pág. 21)'!M$18)*100</f>
        <v>7429049.469636539</v>
      </c>
      <c r="N54" s="282">
        <f>('C4 (Pág. 19)'!N54/'C5 (Pág. 21)'!N$18)*100</f>
        <v>8202235.711891744</v>
      </c>
      <c r="O54" s="282">
        <f>('C4 (Pág. 19)'!O54/'C5 (Pág. 21)'!O$18)*100</f>
        <v>9099326.846531335</v>
      </c>
      <c r="P54" s="282">
        <f>('C4 (Pág. 19)'!P54/'C5 (Pág. 21)'!P$18)*100</f>
        <v>9741992.767039048</v>
      </c>
      <c r="Q54" s="174">
        <f>(((P54/F54)^(1/10))-1)*100</f>
        <v>7.43115567610988</v>
      </c>
      <c r="S54" s="16"/>
      <c r="V54" s="18"/>
    </row>
    <row r="55" spans="1:17" ht="24.75" customHeight="1">
      <c r="A55" s="106" t="s">
        <v>25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154"/>
    </row>
    <row r="56" ht="15">
      <c r="Q56" s="22"/>
    </row>
    <row r="57" spans="1:17" ht="18">
      <c r="A57" s="477"/>
      <c r="B57" s="477"/>
      <c r="C57" s="477"/>
      <c r="D57" s="477"/>
      <c r="E57" s="477"/>
      <c r="F57" s="477"/>
      <c r="G57" s="477"/>
      <c r="H57" s="477"/>
      <c r="I57" s="477"/>
      <c r="J57" s="477"/>
      <c r="K57" s="477"/>
      <c r="L57" s="477"/>
      <c r="M57" s="477"/>
      <c r="N57" s="477"/>
      <c r="O57" s="477"/>
      <c r="P57" s="477"/>
      <c r="Q57" s="477"/>
    </row>
    <row r="58" ht="15">
      <c r="Q58" s="22"/>
    </row>
    <row r="59" ht="15">
      <c r="Q59" s="22"/>
    </row>
    <row r="60" ht="15">
      <c r="Q60" s="22"/>
    </row>
    <row r="61" ht="15">
      <c r="Q61" s="22"/>
    </row>
    <row r="62" ht="15">
      <c r="Q62" s="22"/>
    </row>
    <row r="63" ht="15">
      <c r="Q63" s="22"/>
    </row>
    <row r="64" ht="15">
      <c r="Q64" s="22"/>
    </row>
    <row r="65" ht="15">
      <c r="Q65" s="22"/>
    </row>
    <row r="66" ht="15">
      <c r="Q66" s="22"/>
    </row>
    <row r="67" ht="15">
      <c r="Q67" s="22"/>
    </row>
    <row r="68" ht="15">
      <c r="Q68" s="22"/>
    </row>
    <row r="69" ht="15">
      <c r="Q69" s="22"/>
    </row>
    <row r="70" ht="15">
      <c r="Q70" s="22"/>
    </row>
    <row r="71" ht="15">
      <c r="Q71" s="22"/>
    </row>
    <row r="72" ht="15">
      <c r="Q72" s="22"/>
    </row>
    <row r="73" ht="15">
      <c r="Q73" s="22"/>
    </row>
    <row r="74" ht="15">
      <c r="Q74" s="22"/>
    </row>
    <row r="75" ht="15">
      <c r="Q75" s="22"/>
    </row>
    <row r="76" ht="15">
      <c r="Q76" s="22"/>
    </row>
    <row r="77" ht="15">
      <c r="Q77" s="22"/>
    </row>
    <row r="78" ht="15">
      <c r="Q78" s="22"/>
    </row>
    <row r="79" ht="15">
      <c r="Q79" s="22"/>
    </row>
    <row r="80" ht="15">
      <c r="Q80" s="22"/>
    </row>
    <row r="81" ht="15">
      <c r="Q81" s="22"/>
    </row>
    <row r="82" ht="15">
      <c r="Q82" s="22"/>
    </row>
    <row r="83" ht="15">
      <c r="Q83" s="22"/>
    </row>
    <row r="84" ht="15">
      <c r="Q84" s="22"/>
    </row>
    <row r="85" ht="15">
      <c r="Q85" s="22"/>
    </row>
    <row r="86" ht="15">
      <c r="Q86" s="22"/>
    </row>
    <row r="87" ht="15">
      <c r="Q87" s="22"/>
    </row>
    <row r="88" ht="15">
      <c r="Q88" s="22"/>
    </row>
    <row r="89" ht="15">
      <c r="Q89" s="22"/>
    </row>
    <row r="90" ht="15">
      <c r="Q90" s="22"/>
    </row>
    <row r="91" ht="15">
      <c r="Q91" s="22"/>
    </row>
    <row r="92" ht="15">
      <c r="Q92" s="22"/>
    </row>
    <row r="93" ht="15">
      <c r="Q93" s="22"/>
    </row>
    <row r="94" ht="15">
      <c r="Q94" s="22"/>
    </row>
    <row r="95" ht="15">
      <c r="Q95" s="22"/>
    </row>
    <row r="96" ht="15">
      <c r="Q96" s="22"/>
    </row>
    <row r="97" ht="15">
      <c r="Q97" s="22"/>
    </row>
    <row r="98" ht="15">
      <c r="Q98" s="22"/>
    </row>
    <row r="99" ht="15">
      <c r="Q99" s="22"/>
    </row>
    <row r="100" ht="15">
      <c r="Q100" s="22"/>
    </row>
    <row r="101" ht="15">
      <c r="Q101" s="22"/>
    </row>
    <row r="102" ht="15">
      <c r="Q102" s="22"/>
    </row>
    <row r="103" ht="15">
      <c r="Q103" s="22"/>
    </row>
    <row r="104" ht="15">
      <c r="Q104" s="22"/>
    </row>
    <row r="105" ht="15">
      <c r="Q105" s="22"/>
    </row>
    <row r="106" ht="15">
      <c r="Q106" s="22"/>
    </row>
    <row r="107" ht="15">
      <c r="Q107" s="22"/>
    </row>
    <row r="108" ht="15">
      <c r="Q108" s="22"/>
    </row>
    <row r="109" ht="15">
      <c r="Q109" s="22"/>
    </row>
    <row r="110" ht="15">
      <c r="Q110" s="22"/>
    </row>
    <row r="111" ht="15">
      <c r="Q111" s="22"/>
    </row>
    <row r="112" ht="15">
      <c r="Q112" s="22"/>
    </row>
    <row r="113" ht="15">
      <c r="Q113" s="22"/>
    </row>
    <row r="114" ht="15">
      <c r="Q114" s="22"/>
    </row>
    <row r="115" ht="15">
      <c r="Q115" s="22"/>
    </row>
    <row r="116" ht="15">
      <c r="Q116" s="22"/>
    </row>
    <row r="117" ht="15">
      <c r="Q117" s="22"/>
    </row>
    <row r="118" ht="15">
      <c r="Q118" s="22"/>
    </row>
    <row r="119" ht="15">
      <c r="Q119" s="22"/>
    </row>
    <row r="120" ht="15">
      <c r="Q120" s="22"/>
    </row>
    <row r="121" ht="15">
      <c r="Q121" s="22"/>
    </row>
    <row r="122" ht="15">
      <c r="Q122" s="22"/>
    </row>
    <row r="123" ht="15">
      <c r="Q123" s="22"/>
    </row>
    <row r="124" ht="15">
      <c r="Q124" s="22"/>
    </row>
    <row r="125" ht="15">
      <c r="Q125" s="22"/>
    </row>
    <row r="126" ht="15">
      <c r="Q126" s="22"/>
    </row>
    <row r="127" ht="15">
      <c r="Q127" s="22"/>
    </row>
    <row r="128" ht="15">
      <c r="Q128" s="22"/>
    </row>
    <row r="129" ht="15">
      <c r="Q129" s="22"/>
    </row>
    <row r="130" ht="15">
      <c r="Q130" s="22"/>
    </row>
    <row r="131" ht="15">
      <c r="Q131" s="22"/>
    </row>
    <row r="132" ht="15">
      <c r="Q132" s="22"/>
    </row>
    <row r="133" ht="15">
      <c r="Q133" s="22"/>
    </row>
    <row r="134" ht="15">
      <c r="Q134" s="22"/>
    </row>
    <row r="135" ht="15">
      <c r="Q135" s="22"/>
    </row>
    <row r="136" ht="15">
      <c r="Q136" s="22"/>
    </row>
    <row r="137" ht="15">
      <c r="Q137" s="22"/>
    </row>
    <row r="138" ht="15">
      <c r="Q138" s="22"/>
    </row>
    <row r="139" ht="15">
      <c r="Q139" s="22"/>
    </row>
    <row r="140" ht="15">
      <c r="Q140" s="22"/>
    </row>
    <row r="141" ht="15">
      <c r="Q141" s="22"/>
    </row>
    <row r="142" ht="15">
      <c r="Q142" s="22"/>
    </row>
    <row r="143" ht="15">
      <c r="Q143" s="22"/>
    </row>
    <row r="144" ht="15">
      <c r="Q144" s="22"/>
    </row>
    <row r="145" ht="15">
      <c r="Q145" s="22"/>
    </row>
    <row r="146" ht="15">
      <c r="Q146" s="22"/>
    </row>
    <row r="147" ht="15">
      <c r="Q147" s="22"/>
    </row>
    <row r="148" ht="15">
      <c r="Q148" s="22"/>
    </row>
    <row r="149" ht="15">
      <c r="Q149" s="22"/>
    </row>
    <row r="150" ht="15">
      <c r="Q150" s="22"/>
    </row>
    <row r="151" ht="15">
      <c r="Q151" s="22"/>
    </row>
    <row r="152" ht="15">
      <c r="Q152" s="22"/>
    </row>
    <row r="153" ht="15">
      <c r="Q153" s="22"/>
    </row>
    <row r="154" ht="15">
      <c r="Q154" s="22"/>
    </row>
    <row r="155" ht="15">
      <c r="Q155" s="22"/>
    </row>
    <row r="156" ht="15">
      <c r="Q156" s="22"/>
    </row>
    <row r="157" ht="15">
      <c r="Q157" s="22"/>
    </row>
    <row r="158" ht="15">
      <c r="Q158" s="22"/>
    </row>
    <row r="159" ht="15">
      <c r="Q159" s="22"/>
    </row>
    <row r="160" ht="15">
      <c r="Q160" s="22"/>
    </row>
    <row r="161" ht="15">
      <c r="Q161" s="22"/>
    </row>
    <row r="162" ht="15">
      <c r="Q162" s="22"/>
    </row>
    <row r="163" ht="15">
      <c r="Q163" s="22"/>
    </row>
    <row r="164" ht="15">
      <c r="Q164" s="22"/>
    </row>
    <row r="165" ht="15">
      <c r="Q165" s="22"/>
    </row>
    <row r="166" ht="15">
      <c r="Q166" s="22"/>
    </row>
    <row r="167" ht="15">
      <c r="Q167" s="22"/>
    </row>
    <row r="168" ht="15">
      <c r="Q168" s="22"/>
    </row>
    <row r="169" ht="15">
      <c r="Q169" s="22"/>
    </row>
    <row r="170" ht="15">
      <c r="Q170" s="22"/>
    </row>
    <row r="171" ht="15">
      <c r="Q171" s="22"/>
    </row>
    <row r="172" ht="15">
      <c r="Q172" s="22"/>
    </row>
    <row r="173" ht="15">
      <c r="Q173" s="22"/>
    </row>
    <row r="174" ht="15">
      <c r="Q174" s="22"/>
    </row>
    <row r="175" ht="15">
      <c r="Q175" s="22"/>
    </row>
    <row r="176" ht="15">
      <c r="Q176" s="22"/>
    </row>
    <row r="177" ht="15">
      <c r="Q177" s="22"/>
    </row>
    <row r="178" ht="15">
      <c r="Q178" s="22"/>
    </row>
    <row r="179" ht="15">
      <c r="Q179" s="22"/>
    </row>
    <row r="180" ht="15">
      <c r="Q180" s="22"/>
    </row>
    <row r="181" ht="15">
      <c r="Q181" s="22"/>
    </row>
    <row r="182" ht="15">
      <c r="Q182" s="22"/>
    </row>
    <row r="183" ht="15">
      <c r="Q183" s="22"/>
    </row>
    <row r="184" ht="15">
      <c r="Q184" s="22"/>
    </row>
    <row r="185" ht="15">
      <c r="Q185" s="22"/>
    </row>
    <row r="186" ht="15">
      <c r="Q186" s="22"/>
    </row>
    <row r="187" ht="15">
      <c r="Q187" s="22"/>
    </row>
    <row r="188" ht="15">
      <c r="Q188" s="22"/>
    </row>
    <row r="189" ht="15">
      <c r="Q189" s="22"/>
    </row>
    <row r="190" ht="15">
      <c r="Q190" s="22"/>
    </row>
    <row r="191" ht="15">
      <c r="Q191" s="22"/>
    </row>
    <row r="192" ht="15">
      <c r="Q192" s="22"/>
    </row>
    <row r="193" ht="15">
      <c r="Q193" s="22"/>
    </row>
    <row r="194" ht="15">
      <c r="Q194" s="22"/>
    </row>
    <row r="195" ht="15">
      <c r="Q195" s="22"/>
    </row>
    <row r="196" ht="15">
      <c r="Q196" s="22"/>
    </row>
    <row r="197" ht="15">
      <c r="Q197" s="22"/>
    </row>
    <row r="198" ht="15">
      <c r="Q198" s="22"/>
    </row>
    <row r="199" ht="15">
      <c r="Q199" s="22"/>
    </row>
    <row r="200" ht="15">
      <c r="Q200" s="22"/>
    </row>
    <row r="201" ht="15">
      <c r="Q201" s="22"/>
    </row>
    <row r="202" ht="15">
      <c r="Q202" s="22"/>
    </row>
    <row r="203" ht="15">
      <c r="Q203" s="22"/>
    </row>
    <row r="204" ht="15">
      <c r="Q204" s="22"/>
    </row>
    <row r="205" ht="15">
      <c r="Q205" s="22"/>
    </row>
    <row r="206" ht="15">
      <c r="Q206" s="22"/>
    </row>
    <row r="207" ht="15">
      <c r="Q207" s="22"/>
    </row>
    <row r="208" ht="15">
      <c r="Q208" s="22"/>
    </row>
    <row r="209" ht="15">
      <c r="Q209" s="22"/>
    </row>
    <row r="210" ht="15">
      <c r="Q210" s="22"/>
    </row>
    <row r="211" ht="15">
      <c r="Q211" s="22"/>
    </row>
    <row r="212" ht="15">
      <c r="Q212" s="22"/>
    </row>
    <row r="213" ht="15">
      <c r="Q213" s="22"/>
    </row>
    <row r="214" ht="15">
      <c r="Q214" s="22"/>
    </row>
    <row r="215" ht="15">
      <c r="Q215" s="22"/>
    </row>
    <row r="216" ht="15">
      <c r="Q216" s="22"/>
    </row>
    <row r="217" ht="15">
      <c r="Q217" s="22"/>
    </row>
    <row r="218" ht="15">
      <c r="Q218" s="22"/>
    </row>
    <row r="219" ht="15">
      <c r="Q219" s="22"/>
    </row>
    <row r="220" ht="15">
      <c r="Q220" s="22"/>
    </row>
    <row r="221" ht="15">
      <c r="Q221" s="22"/>
    </row>
    <row r="222" ht="15">
      <c r="Q222" s="22"/>
    </row>
    <row r="223" ht="15">
      <c r="Q223" s="22"/>
    </row>
    <row r="224" ht="15">
      <c r="Q224" s="22"/>
    </row>
    <row r="225" ht="15">
      <c r="Q225" s="22"/>
    </row>
    <row r="226" ht="15">
      <c r="Q226" s="22"/>
    </row>
    <row r="227" ht="15">
      <c r="Q227" s="22"/>
    </row>
    <row r="228" ht="15">
      <c r="Q228" s="22"/>
    </row>
    <row r="229" ht="15">
      <c r="Q229" s="22"/>
    </row>
    <row r="230" ht="15">
      <c r="Q230" s="22"/>
    </row>
    <row r="231" ht="15">
      <c r="Q231" s="22"/>
    </row>
    <row r="232" ht="15">
      <c r="Q232" s="22"/>
    </row>
    <row r="233" ht="15">
      <c r="Q233" s="22"/>
    </row>
    <row r="234" ht="15">
      <c r="Q234" s="22"/>
    </row>
    <row r="235" ht="15">
      <c r="Q235" s="22"/>
    </row>
    <row r="236" ht="15">
      <c r="Q236" s="22"/>
    </row>
    <row r="237" ht="15">
      <c r="Q237" s="22"/>
    </row>
    <row r="238" ht="15">
      <c r="Q238" s="22"/>
    </row>
    <row r="239" ht="15">
      <c r="Q239" s="22"/>
    </row>
    <row r="240" ht="15">
      <c r="Q240" s="22"/>
    </row>
    <row r="241" ht="15">
      <c r="Q241" s="22"/>
    </row>
    <row r="242" ht="15">
      <c r="Q242" s="22"/>
    </row>
    <row r="243" ht="15">
      <c r="Q243" s="22"/>
    </row>
    <row r="244" ht="15">
      <c r="Q244" s="22"/>
    </row>
    <row r="245" ht="15">
      <c r="Q245" s="22"/>
    </row>
    <row r="246" ht="15">
      <c r="Q246" s="22"/>
    </row>
    <row r="247" ht="15">
      <c r="Q247" s="22"/>
    </row>
    <row r="248" ht="15">
      <c r="Q248" s="22"/>
    </row>
    <row r="249" ht="15">
      <c r="Q249" s="22"/>
    </row>
    <row r="250" ht="15">
      <c r="Q250" s="22"/>
    </row>
    <row r="251" ht="15">
      <c r="Q251" s="22"/>
    </row>
    <row r="252" ht="15">
      <c r="Q252" s="22"/>
    </row>
    <row r="253" ht="15">
      <c r="Q253" s="22"/>
    </row>
    <row r="254" ht="15">
      <c r="Q254" s="22"/>
    </row>
    <row r="255" ht="15">
      <c r="Q255" s="22"/>
    </row>
    <row r="256" ht="15">
      <c r="Q256" s="22"/>
    </row>
    <row r="257" ht="15">
      <c r="Q257" s="22"/>
    </row>
    <row r="258" ht="15">
      <c r="Q258" s="22"/>
    </row>
    <row r="259" ht="15">
      <c r="Q259" s="22"/>
    </row>
    <row r="260" ht="15">
      <c r="Q260" s="22"/>
    </row>
    <row r="261" ht="15">
      <c r="Q261" s="22"/>
    </row>
    <row r="262" ht="15">
      <c r="Q262" s="22"/>
    </row>
    <row r="263" ht="15">
      <c r="Q263" s="22"/>
    </row>
    <row r="264" ht="15">
      <c r="Q264" s="22"/>
    </row>
    <row r="265" ht="15">
      <c r="Q265" s="22"/>
    </row>
    <row r="266" ht="15">
      <c r="Q266" s="22"/>
    </row>
    <row r="267" ht="15">
      <c r="Q267" s="22"/>
    </row>
    <row r="268" ht="15">
      <c r="Q268" s="22"/>
    </row>
    <row r="269" ht="15">
      <c r="Q269" s="22"/>
    </row>
    <row r="270" ht="15">
      <c r="Q270" s="22"/>
    </row>
    <row r="271" ht="15">
      <c r="Q271" s="22"/>
    </row>
    <row r="272" ht="15">
      <c r="Q272" s="22"/>
    </row>
    <row r="273" ht="15">
      <c r="Q273" s="22"/>
    </row>
    <row r="274" ht="15">
      <c r="Q274" s="22"/>
    </row>
    <row r="275" ht="15">
      <c r="Q275" s="22"/>
    </row>
    <row r="276" ht="15">
      <c r="Q276" s="22"/>
    </row>
    <row r="277" ht="15">
      <c r="Q277" s="22"/>
    </row>
    <row r="278" ht="15">
      <c r="Q278" s="22"/>
    </row>
    <row r="279" ht="15">
      <c r="Q279" s="22"/>
    </row>
    <row r="280" ht="15">
      <c r="Q280" s="22"/>
    </row>
    <row r="281" ht="15">
      <c r="Q281" s="22"/>
    </row>
    <row r="282" ht="15">
      <c r="Q282" s="22"/>
    </row>
    <row r="283" ht="15">
      <c r="Q283" s="22"/>
    </row>
    <row r="284" ht="15">
      <c r="Q284" s="22"/>
    </row>
    <row r="285" ht="15">
      <c r="Q285" s="22"/>
    </row>
    <row r="286" ht="15">
      <c r="Q286" s="22"/>
    </row>
    <row r="287" ht="15">
      <c r="Q287" s="22"/>
    </row>
    <row r="288" ht="15">
      <c r="Q288" s="22"/>
    </row>
    <row r="289" ht="15">
      <c r="Q289" s="22"/>
    </row>
    <row r="290" ht="15">
      <c r="Q290" s="22"/>
    </row>
    <row r="291" ht="15">
      <c r="Q291" s="22"/>
    </row>
    <row r="292" ht="15">
      <c r="Q292" s="22"/>
    </row>
    <row r="293" ht="15">
      <c r="Q293" s="22"/>
    </row>
    <row r="294" ht="15">
      <c r="Q294" s="22"/>
    </row>
    <row r="295" ht="15">
      <c r="Q295" s="22"/>
    </row>
    <row r="296" ht="15">
      <c r="Q296" s="22"/>
    </row>
    <row r="297" ht="15">
      <c r="Q297" s="22"/>
    </row>
    <row r="298" ht="15">
      <c r="Q298" s="22"/>
    </row>
    <row r="299" ht="15">
      <c r="Q299" s="22"/>
    </row>
    <row r="300" ht="15">
      <c r="Q300" s="22"/>
    </row>
    <row r="301" ht="15">
      <c r="Q301" s="22"/>
    </row>
    <row r="302" ht="15">
      <c r="Q302" s="22"/>
    </row>
    <row r="303" ht="15">
      <c r="Q303" s="22"/>
    </row>
    <row r="304" ht="15">
      <c r="Q304" s="22"/>
    </row>
    <row r="305" ht="15">
      <c r="Q305" s="22"/>
    </row>
    <row r="306" ht="15">
      <c r="Q306" s="22"/>
    </row>
    <row r="307" ht="15">
      <c r="Q307" s="22"/>
    </row>
    <row r="308" ht="15">
      <c r="Q308" s="22"/>
    </row>
    <row r="309" ht="15">
      <c r="Q309" s="22"/>
    </row>
    <row r="310" ht="15">
      <c r="Q310" s="22"/>
    </row>
    <row r="311" ht="15">
      <c r="Q311" s="22"/>
    </row>
    <row r="312" ht="15">
      <c r="Q312" s="22"/>
    </row>
    <row r="313" ht="15">
      <c r="Q313" s="22"/>
    </row>
    <row r="314" ht="15">
      <c r="Q314" s="22"/>
    </row>
    <row r="315" ht="15">
      <c r="Q315" s="22"/>
    </row>
    <row r="316" ht="15">
      <c r="Q316" s="22"/>
    </row>
    <row r="317" ht="15">
      <c r="Q317" s="22"/>
    </row>
    <row r="318" ht="15">
      <c r="Q318" s="22"/>
    </row>
    <row r="319" ht="15">
      <c r="Q319" s="22"/>
    </row>
    <row r="320" ht="15">
      <c r="Q320" s="22"/>
    </row>
    <row r="321" ht="15">
      <c r="Q321" s="22"/>
    </row>
    <row r="322" ht="15">
      <c r="Q322" s="22"/>
    </row>
    <row r="323" ht="15">
      <c r="Q323" s="22"/>
    </row>
    <row r="324" ht="15">
      <c r="Q324" s="22"/>
    </row>
    <row r="325" ht="15">
      <c r="Q325" s="22"/>
    </row>
    <row r="326" ht="15">
      <c r="Q326" s="22"/>
    </row>
    <row r="327" ht="15">
      <c r="Q327" s="22"/>
    </row>
    <row r="328" ht="15">
      <c r="Q328" s="22"/>
    </row>
    <row r="329" ht="15">
      <c r="Q329" s="22"/>
    </row>
    <row r="330" ht="15">
      <c r="Q330" s="22"/>
    </row>
    <row r="331" ht="15">
      <c r="Q331" s="22"/>
    </row>
    <row r="332" ht="15">
      <c r="Q332" s="22"/>
    </row>
    <row r="333" ht="15">
      <c r="Q333" s="22"/>
    </row>
    <row r="334" ht="15">
      <c r="Q334" s="22"/>
    </row>
    <row r="335" ht="15">
      <c r="Q335" s="22"/>
    </row>
    <row r="336" ht="15">
      <c r="Q336" s="22"/>
    </row>
    <row r="337" ht="15">
      <c r="Q337" s="22"/>
    </row>
    <row r="338" ht="15">
      <c r="Q338" s="22"/>
    </row>
    <row r="339" ht="15">
      <c r="Q339" s="22"/>
    </row>
    <row r="340" ht="15">
      <c r="Q340" s="22"/>
    </row>
    <row r="341" ht="15">
      <c r="Q341" s="22"/>
    </row>
    <row r="342" ht="15">
      <c r="Q342" s="22"/>
    </row>
    <row r="343" ht="15">
      <c r="Q343" s="22"/>
    </row>
    <row r="344" ht="15">
      <c r="Q344" s="22"/>
    </row>
    <row r="345" ht="15">
      <c r="Q345" s="22"/>
    </row>
    <row r="346" ht="15">
      <c r="Q346" s="22"/>
    </row>
    <row r="347" ht="15">
      <c r="Q347" s="22"/>
    </row>
    <row r="348" ht="15">
      <c r="Q348" s="22"/>
    </row>
    <row r="349" ht="15">
      <c r="Q349" s="22"/>
    </row>
    <row r="350" ht="15">
      <c r="Q350" s="22"/>
    </row>
    <row r="351" ht="15">
      <c r="Q351" s="22"/>
    </row>
    <row r="352" ht="15">
      <c r="Q352" s="22"/>
    </row>
    <row r="353" ht="15">
      <c r="Q353" s="22"/>
    </row>
    <row r="354" ht="15">
      <c r="Q354" s="22"/>
    </row>
    <row r="355" ht="15">
      <c r="Q355" s="22"/>
    </row>
    <row r="356" ht="15">
      <c r="Q356" s="22"/>
    </row>
    <row r="357" ht="15">
      <c r="Q357" s="22"/>
    </row>
    <row r="358" ht="15">
      <c r="Q358" s="22"/>
    </row>
    <row r="359" ht="15">
      <c r="Q359" s="22"/>
    </row>
    <row r="360" ht="15">
      <c r="Q360" s="22"/>
    </row>
    <row r="361" ht="15">
      <c r="Q361" s="22"/>
    </row>
    <row r="362" ht="15">
      <c r="Q362" s="22"/>
    </row>
    <row r="363" ht="15">
      <c r="Q363" s="22"/>
    </row>
    <row r="364" ht="15">
      <c r="Q364" s="22"/>
    </row>
    <row r="365" ht="15">
      <c r="Q365" s="22"/>
    </row>
    <row r="366" ht="15">
      <c r="Q366" s="22"/>
    </row>
    <row r="367" ht="15">
      <c r="Q367" s="22"/>
    </row>
    <row r="368" ht="15">
      <c r="Q368" s="22"/>
    </row>
    <row r="369" ht="15">
      <c r="Q369" s="22"/>
    </row>
    <row r="370" ht="15">
      <c r="Q370" s="22"/>
    </row>
    <row r="371" ht="15">
      <c r="Q371" s="22"/>
    </row>
    <row r="372" ht="15">
      <c r="Q372" s="22"/>
    </row>
    <row r="373" ht="15">
      <c r="Q373" s="22"/>
    </row>
    <row r="374" ht="15">
      <c r="Q374" s="22"/>
    </row>
    <row r="375" ht="15">
      <c r="Q375" s="22"/>
    </row>
    <row r="376" ht="15">
      <c r="Q376" s="22"/>
    </row>
    <row r="377" ht="15">
      <c r="Q377" s="22"/>
    </row>
    <row r="378" ht="15">
      <c r="Q378" s="22"/>
    </row>
    <row r="379" ht="15">
      <c r="Q379" s="22"/>
    </row>
    <row r="380" ht="15">
      <c r="Q380" s="22"/>
    </row>
    <row r="381" ht="15">
      <c r="Q381" s="22"/>
    </row>
    <row r="382" ht="15">
      <c r="Q382" s="22"/>
    </row>
    <row r="383" ht="15">
      <c r="Q383" s="22"/>
    </row>
    <row r="384" ht="15">
      <c r="Q384" s="22"/>
    </row>
    <row r="385" ht="15">
      <c r="Q385" s="22"/>
    </row>
    <row r="386" ht="15">
      <c r="Q386" s="22"/>
    </row>
    <row r="387" ht="15">
      <c r="Q387" s="22"/>
    </row>
    <row r="388" ht="15">
      <c r="Q388" s="22"/>
    </row>
    <row r="389" ht="15">
      <c r="Q389" s="22"/>
    </row>
    <row r="390" ht="15">
      <c r="Q390" s="22"/>
    </row>
    <row r="391" ht="15">
      <c r="Q391" s="22"/>
    </row>
    <row r="392" ht="15">
      <c r="Q392" s="22"/>
    </row>
    <row r="393" ht="15">
      <c r="Q393" s="22"/>
    </row>
    <row r="394" ht="15">
      <c r="Q394" s="22"/>
    </row>
    <row r="395" ht="15">
      <c r="Q395" s="22"/>
    </row>
    <row r="396" ht="15">
      <c r="Q396" s="22"/>
    </row>
    <row r="397" ht="15">
      <c r="Q397" s="22"/>
    </row>
    <row r="398" ht="15">
      <c r="Q398" s="22"/>
    </row>
    <row r="399" ht="15">
      <c r="Q399" s="22"/>
    </row>
    <row r="400" ht="15">
      <c r="Q400" s="22"/>
    </row>
    <row r="401" ht="15">
      <c r="Q401" s="22"/>
    </row>
    <row r="402" ht="15">
      <c r="Q402" s="22"/>
    </row>
    <row r="403" ht="15">
      <c r="Q403" s="22"/>
    </row>
    <row r="404" ht="15">
      <c r="Q404" s="22"/>
    </row>
    <row r="405" ht="15">
      <c r="Q405" s="22"/>
    </row>
    <row r="406" ht="15">
      <c r="Q406" s="22"/>
    </row>
    <row r="407" ht="15">
      <c r="Q407" s="22"/>
    </row>
    <row r="408" ht="15">
      <c r="Q408" s="22"/>
    </row>
    <row r="409" ht="15">
      <c r="Q409" s="22"/>
    </row>
    <row r="410" ht="15">
      <c r="Q410" s="22"/>
    </row>
    <row r="411" ht="15">
      <c r="Q411" s="22"/>
    </row>
    <row r="412" ht="15">
      <c r="Q412" s="22"/>
    </row>
    <row r="413" ht="15">
      <c r="Q413" s="22"/>
    </row>
    <row r="414" ht="15">
      <c r="Q414" s="22"/>
    </row>
    <row r="415" ht="15">
      <c r="Q415" s="22"/>
    </row>
    <row r="416" ht="15">
      <c r="Q416" s="22"/>
    </row>
    <row r="417" ht="15">
      <c r="Q417" s="22"/>
    </row>
    <row r="418" ht="15">
      <c r="Q418" s="22"/>
    </row>
    <row r="419" ht="15">
      <c r="Q419" s="22"/>
    </row>
    <row r="420" ht="15">
      <c r="Q420" s="22"/>
    </row>
    <row r="421" ht="15">
      <c r="Q421" s="22"/>
    </row>
    <row r="422" ht="15">
      <c r="Q422" s="22"/>
    </row>
    <row r="423" ht="15">
      <c r="Q423" s="22"/>
    </row>
    <row r="424" ht="15">
      <c r="Q424" s="22"/>
    </row>
    <row r="425" ht="15">
      <c r="Q425" s="22"/>
    </row>
    <row r="426" ht="15">
      <c r="Q426" s="22"/>
    </row>
    <row r="427" ht="15">
      <c r="Q427" s="22"/>
    </row>
    <row r="428" ht="15">
      <c r="Q428" s="22"/>
    </row>
    <row r="429" ht="15">
      <c r="Q429" s="22"/>
    </row>
    <row r="430" ht="15">
      <c r="Q430" s="22"/>
    </row>
    <row r="431" ht="15">
      <c r="Q431" s="22"/>
    </row>
    <row r="432" ht="15">
      <c r="Q432" s="22"/>
    </row>
    <row r="433" ht="15">
      <c r="Q433" s="22"/>
    </row>
    <row r="434" ht="15">
      <c r="Q434" s="22"/>
    </row>
    <row r="435" ht="15">
      <c r="Q435" s="22"/>
    </row>
    <row r="436" ht="15">
      <c r="Q436" s="22"/>
    </row>
    <row r="437" ht="15">
      <c r="Q437" s="22"/>
    </row>
    <row r="438" ht="15">
      <c r="Q438" s="22"/>
    </row>
    <row r="439" ht="15">
      <c r="Q439" s="22"/>
    </row>
    <row r="440" ht="15">
      <c r="Q440" s="22"/>
    </row>
    <row r="441" ht="15">
      <c r="Q441" s="22"/>
    </row>
    <row r="442" ht="15">
      <c r="Q442" s="22"/>
    </row>
    <row r="443" ht="15">
      <c r="Q443" s="22"/>
    </row>
    <row r="444" ht="15">
      <c r="Q444" s="22"/>
    </row>
    <row r="445" ht="15">
      <c r="Q445" s="22"/>
    </row>
    <row r="446" ht="15">
      <c r="Q446" s="22"/>
    </row>
    <row r="447" ht="15">
      <c r="Q447" s="22"/>
    </row>
    <row r="448" ht="15">
      <c r="Q448" s="22"/>
    </row>
    <row r="449" ht="15">
      <c r="Q449" s="22"/>
    </row>
    <row r="450" ht="15">
      <c r="Q450" s="22"/>
    </row>
    <row r="451" ht="15">
      <c r="Q451" s="22"/>
    </row>
    <row r="452" ht="15">
      <c r="Q452" s="22"/>
    </row>
    <row r="453" ht="15">
      <c r="Q453" s="22"/>
    </row>
    <row r="454" ht="15">
      <c r="Q454" s="22"/>
    </row>
    <row r="455" ht="15">
      <c r="Q455" s="22"/>
    </row>
    <row r="456" ht="15">
      <c r="Q456" s="22"/>
    </row>
    <row r="457" ht="15">
      <c r="Q457" s="22"/>
    </row>
    <row r="458" ht="15">
      <c r="Q458" s="22"/>
    </row>
    <row r="459" ht="15">
      <c r="Q459" s="22"/>
    </row>
    <row r="460" ht="15">
      <c r="Q460" s="22"/>
    </row>
    <row r="461" ht="15">
      <c r="Q461" s="22"/>
    </row>
    <row r="462" ht="15">
      <c r="Q462" s="22"/>
    </row>
    <row r="463" ht="15">
      <c r="Q463" s="22"/>
    </row>
    <row r="464" ht="15">
      <c r="Q464" s="22"/>
    </row>
    <row r="465" ht="15">
      <c r="Q465" s="22"/>
    </row>
    <row r="466" ht="15">
      <c r="Q466" s="22"/>
    </row>
    <row r="467" ht="15">
      <c r="Q467" s="22"/>
    </row>
    <row r="468" ht="15">
      <c r="Q468" s="22"/>
    </row>
    <row r="469" ht="15">
      <c r="Q469" s="22"/>
    </row>
    <row r="470" ht="15">
      <c r="Q470" s="22"/>
    </row>
    <row r="471" ht="15">
      <c r="Q471" s="22"/>
    </row>
    <row r="472" ht="15">
      <c r="Q472" s="22"/>
    </row>
    <row r="473" ht="15">
      <c r="Q473" s="22"/>
    </row>
    <row r="474" ht="15">
      <c r="Q474" s="22"/>
    </row>
    <row r="475" ht="15">
      <c r="Q475" s="22"/>
    </row>
    <row r="476" ht="15">
      <c r="Q476" s="22"/>
    </row>
    <row r="477" ht="15">
      <c r="Q477" s="22"/>
    </row>
    <row r="478" ht="15">
      <c r="Q478" s="22"/>
    </row>
    <row r="479" ht="15">
      <c r="Q479" s="22"/>
    </row>
    <row r="480" ht="15">
      <c r="Q480" s="22"/>
    </row>
    <row r="481" ht="15">
      <c r="Q481" s="22"/>
    </row>
    <row r="482" ht="15">
      <c r="Q482" s="22"/>
    </row>
    <row r="483" ht="15">
      <c r="Q483" s="22"/>
    </row>
    <row r="484" ht="15">
      <c r="Q484" s="22"/>
    </row>
    <row r="485" ht="15">
      <c r="Q485" s="22"/>
    </row>
    <row r="486" ht="15">
      <c r="Q486" s="22"/>
    </row>
    <row r="487" ht="15">
      <c r="Q487" s="22"/>
    </row>
    <row r="488" ht="15">
      <c r="Q488" s="22"/>
    </row>
    <row r="489" ht="15">
      <c r="Q489" s="22"/>
    </row>
    <row r="490" ht="15">
      <c r="Q490" s="22"/>
    </row>
    <row r="491" ht="15">
      <c r="Q491" s="22"/>
    </row>
    <row r="492" ht="15">
      <c r="Q492" s="22"/>
    </row>
    <row r="493" ht="15">
      <c r="Q493" s="22"/>
    </row>
    <row r="494" ht="15">
      <c r="Q494" s="22"/>
    </row>
    <row r="495" ht="15">
      <c r="Q495" s="22"/>
    </row>
    <row r="496" ht="15">
      <c r="Q496" s="22"/>
    </row>
    <row r="497" ht="15">
      <c r="Q497" s="22"/>
    </row>
    <row r="498" ht="15">
      <c r="Q498" s="22"/>
    </row>
    <row r="499" ht="15">
      <c r="Q499" s="22"/>
    </row>
    <row r="500" ht="15">
      <c r="Q500" s="22"/>
    </row>
    <row r="501" ht="15">
      <c r="Q501" s="22"/>
    </row>
    <row r="502" ht="15">
      <c r="Q502" s="22"/>
    </row>
    <row r="503" ht="15">
      <c r="Q503" s="22"/>
    </row>
    <row r="504" ht="15">
      <c r="Q504" s="22"/>
    </row>
    <row r="505" ht="15">
      <c r="Q505" s="22"/>
    </row>
    <row r="506" ht="15">
      <c r="Q506" s="22"/>
    </row>
    <row r="507" ht="15">
      <c r="Q507" s="22"/>
    </row>
    <row r="508" ht="15">
      <c r="Q508" s="22"/>
    </row>
    <row r="509" ht="15">
      <c r="Q509" s="22"/>
    </row>
    <row r="510" ht="15">
      <c r="Q510" s="22"/>
    </row>
    <row r="511" ht="15">
      <c r="Q511" s="22"/>
    </row>
    <row r="512" ht="15">
      <c r="Q512" s="22"/>
    </row>
    <row r="513" ht="15">
      <c r="Q513" s="22"/>
    </row>
    <row r="514" ht="15">
      <c r="Q514" s="22"/>
    </row>
    <row r="515" ht="15">
      <c r="Q515" s="22"/>
    </row>
    <row r="516" ht="15">
      <c r="Q516" s="22"/>
    </row>
    <row r="517" ht="15">
      <c r="Q517" s="22"/>
    </row>
    <row r="518" ht="15">
      <c r="Q518" s="22"/>
    </row>
    <row r="519" ht="15">
      <c r="Q519" s="22"/>
    </row>
    <row r="520" ht="15">
      <c r="Q520" s="22"/>
    </row>
    <row r="521" ht="15">
      <c r="Q521" s="22"/>
    </row>
    <row r="522" ht="15">
      <c r="Q522" s="22"/>
    </row>
    <row r="523" ht="15">
      <c r="Q523" s="22"/>
    </row>
    <row r="524" ht="15">
      <c r="Q524" s="22"/>
    </row>
    <row r="525" ht="15">
      <c r="Q525" s="22"/>
    </row>
    <row r="526" ht="15">
      <c r="Q526" s="22"/>
    </row>
    <row r="527" ht="15">
      <c r="Q527" s="22"/>
    </row>
    <row r="528" ht="15">
      <c r="Q528" s="22"/>
    </row>
    <row r="529" ht="15">
      <c r="Q529" s="22"/>
    </row>
    <row r="530" ht="15">
      <c r="Q530" s="22"/>
    </row>
    <row r="531" ht="15">
      <c r="Q531" s="22"/>
    </row>
    <row r="532" ht="15">
      <c r="Q532" s="22"/>
    </row>
    <row r="533" ht="15">
      <c r="Q533" s="22"/>
    </row>
    <row r="534" ht="15">
      <c r="Q534" s="22"/>
    </row>
    <row r="535" ht="15">
      <c r="Q535" s="22"/>
    </row>
    <row r="536" ht="15">
      <c r="Q536" s="22"/>
    </row>
    <row r="537" ht="15">
      <c r="Q537" s="22"/>
    </row>
    <row r="538" ht="15">
      <c r="Q538" s="22"/>
    </row>
    <row r="539" ht="15">
      <c r="Q539" s="22"/>
    </row>
    <row r="540" ht="15">
      <c r="Q540" s="22"/>
    </row>
    <row r="541" ht="15">
      <c r="Q541" s="22"/>
    </row>
    <row r="542" ht="15">
      <c r="Q542" s="22"/>
    </row>
    <row r="543" ht="15">
      <c r="Q543" s="22"/>
    </row>
    <row r="544" ht="15">
      <c r="Q544" s="22"/>
    </row>
    <row r="545" ht="15">
      <c r="Q545" s="22"/>
    </row>
    <row r="546" ht="15">
      <c r="Q546" s="22"/>
    </row>
    <row r="547" ht="15">
      <c r="Q547" s="22"/>
    </row>
    <row r="548" ht="15">
      <c r="Q548" s="22"/>
    </row>
    <row r="549" ht="15">
      <c r="Q549" s="22"/>
    </row>
    <row r="550" ht="15">
      <c r="Q550" s="22"/>
    </row>
    <row r="551" ht="15">
      <c r="Q551" s="22"/>
    </row>
    <row r="552" ht="15">
      <c r="Q552" s="22"/>
    </row>
    <row r="553" ht="15">
      <c r="Q553" s="22"/>
    </row>
    <row r="554" ht="15">
      <c r="Q554" s="22"/>
    </row>
    <row r="555" ht="15">
      <c r="Q555" s="22"/>
    </row>
    <row r="556" ht="15">
      <c r="Q556" s="22"/>
    </row>
    <row r="557" ht="15">
      <c r="Q557" s="22"/>
    </row>
    <row r="558" ht="15">
      <c r="Q558" s="22"/>
    </row>
    <row r="559" ht="15">
      <c r="Q559" s="22"/>
    </row>
    <row r="560" ht="15">
      <c r="Q560" s="22"/>
    </row>
    <row r="561" ht="15">
      <c r="Q561" s="22"/>
    </row>
    <row r="562" ht="15">
      <c r="Q562" s="22"/>
    </row>
    <row r="563" ht="15">
      <c r="Q563" s="22"/>
    </row>
    <row r="564" ht="15">
      <c r="Q564" s="22"/>
    </row>
    <row r="565" ht="15">
      <c r="Q565" s="22"/>
    </row>
    <row r="566" ht="15">
      <c r="Q566" s="22"/>
    </row>
    <row r="567" ht="15">
      <c r="Q567" s="22"/>
    </row>
    <row r="568" ht="15">
      <c r="Q568" s="22"/>
    </row>
    <row r="569" ht="15">
      <c r="Q569" s="22"/>
    </row>
    <row r="570" ht="15">
      <c r="Q570" s="22"/>
    </row>
    <row r="571" ht="15">
      <c r="Q571" s="22"/>
    </row>
    <row r="572" ht="15">
      <c r="Q572" s="22"/>
    </row>
    <row r="573" ht="15">
      <c r="Q573" s="22"/>
    </row>
    <row r="574" ht="15">
      <c r="Q574" s="22"/>
    </row>
    <row r="575" ht="15">
      <c r="Q575" s="22"/>
    </row>
    <row r="576" ht="15">
      <c r="Q576" s="22"/>
    </row>
    <row r="577" ht="15">
      <c r="Q577" s="22"/>
    </row>
    <row r="578" ht="15">
      <c r="Q578" s="22"/>
    </row>
    <row r="579" ht="15">
      <c r="Q579" s="22"/>
    </row>
    <row r="580" ht="15">
      <c r="Q580" s="22"/>
    </row>
    <row r="581" ht="15">
      <c r="Q581" s="22"/>
    </row>
    <row r="582" ht="15">
      <c r="Q582" s="22"/>
    </row>
    <row r="583" ht="15">
      <c r="Q583" s="22"/>
    </row>
    <row r="584" ht="15">
      <c r="Q584" s="22"/>
    </row>
    <row r="585" ht="15">
      <c r="Q585" s="22"/>
    </row>
    <row r="586" ht="15">
      <c r="Q586" s="22"/>
    </row>
    <row r="587" ht="15">
      <c r="Q587" s="22"/>
    </row>
    <row r="588" ht="15">
      <c r="Q588" s="22"/>
    </row>
    <row r="589" ht="15">
      <c r="Q589" s="22"/>
    </row>
    <row r="590" ht="15">
      <c r="Q590" s="22"/>
    </row>
    <row r="591" ht="15">
      <c r="Q591" s="22"/>
    </row>
    <row r="592" ht="15">
      <c r="Q592" s="22"/>
    </row>
    <row r="593" ht="15">
      <c r="Q593" s="22"/>
    </row>
    <row r="594" ht="15">
      <c r="Q594" s="22"/>
    </row>
    <row r="595" ht="15">
      <c r="Q595" s="22"/>
    </row>
    <row r="596" ht="15">
      <c r="Q596" s="22"/>
    </row>
    <row r="597" ht="15">
      <c r="Q597" s="22"/>
    </row>
    <row r="598" ht="15">
      <c r="Q598" s="22"/>
    </row>
    <row r="599" ht="15">
      <c r="Q599" s="22"/>
    </row>
    <row r="600" ht="15">
      <c r="Q600" s="22"/>
    </row>
    <row r="601" ht="15">
      <c r="Q601" s="22"/>
    </row>
    <row r="602" ht="15">
      <c r="Q602" s="22"/>
    </row>
    <row r="603" ht="15">
      <c r="Q603" s="22"/>
    </row>
    <row r="604" ht="15">
      <c r="Q604" s="22"/>
    </row>
    <row r="605" ht="15">
      <c r="Q605" s="22"/>
    </row>
    <row r="606" ht="15">
      <c r="Q606" s="22"/>
    </row>
    <row r="607" ht="15">
      <c r="Q607" s="22"/>
    </row>
  </sheetData>
  <sheetProtection/>
  <mergeCells count="19">
    <mergeCell ref="C25:E25"/>
    <mergeCell ref="N4:N5"/>
    <mergeCell ref="B12:E12"/>
    <mergeCell ref="B18:E18"/>
    <mergeCell ref="B20:E20"/>
    <mergeCell ref="F4:F5"/>
    <mergeCell ref="G4:G5"/>
    <mergeCell ref="H4:H5"/>
    <mergeCell ref="I4:I5"/>
    <mergeCell ref="P4:P5"/>
    <mergeCell ref="A57:Q57"/>
    <mergeCell ref="Q4:Q5"/>
    <mergeCell ref="A4:E5"/>
    <mergeCell ref="J4:J5"/>
    <mergeCell ref="B16:E16"/>
    <mergeCell ref="K4:K5"/>
    <mergeCell ref="L4:L5"/>
    <mergeCell ref="O4:O5"/>
    <mergeCell ref="M4:M5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scale="43" r:id="rId2"/>
  <headerFooter alignWithMargins="0">
    <oddHeader>&amp;C
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tabColor theme="9" tint="-0.24997000396251678"/>
  </sheetPr>
  <dimension ref="A1:V73"/>
  <sheetViews>
    <sheetView showGridLines="0" view="pageBreakPreview" zoomScale="85" zoomScaleNormal="60" zoomScaleSheetLayoutView="85" zoomScalePageLayoutView="0" workbookViewId="0" topLeftCell="A1">
      <selection activeCell="A1" sqref="A1"/>
    </sheetView>
  </sheetViews>
  <sheetFormatPr defaultColWidth="9.77734375" defaultRowHeight="15.75"/>
  <cols>
    <col min="1" max="4" width="2.77734375" style="4" customWidth="1"/>
    <col min="5" max="5" width="25.6640625" style="4" customWidth="1"/>
    <col min="6" max="16" width="11.77734375" style="4" customWidth="1"/>
    <col min="17" max="17" width="11.77734375" style="22" customWidth="1"/>
    <col min="18" max="18" width="9.77734375" style="8" customWidth="1"/>
    <col min="19" max="19" width="12.6640625" style="4" bestFit="1" customWidth="1"/>
    <col min="20" max="16384" width="9.77734375" style="4" customWidth="1"/>
  </cols>
  <sheetData>
    <row r="1" spans="1:18" ht="21" customHeight="1">
      <c r="A1" s="170" t="s">
        <v>252</v>
      </c>
      <c r="B1" s="129"/>
      <c r="C1" s="129"/>
      <c r="D1" s="129"/>
      <c r="E1" s="129"/>
      <c r="F1" s="129"/>
      <c r="G1" s="129"/>
      <c r="H1" s="29"/>
      <c r="I1" s="29"/>
      <c r="J1" s="29"/>
      <c r="K1" s="29"/>
      <c r="L1" s="29"/>
      <c r="M1" s="29"/>
      <c r="N1" s="50"/>
      <c r="O1" s="50"/>
      <c r="P1" s="50"/>
      <c r="Q1" s="208" t="s">
        <v>253</v>
      </c>
      <c r="R1" s="4"/>
    </row>
    <row r="2" spans="1:18" ht="21" customHeight="1">
      <c r="A2" s="129" t="s">
        <v>512</v>
      </c>
      <c r="B2" s="169"/>
      <c r="C2" s="169"/>
      <c r="D2" s="169"/>
      <c r="E2" s="169"/>
      <c r="F2" s="169"/>
      <c r="G2" s="169"/>
      <c r="H2" s="31"/>
      <c r="I2" s="31"/>
      <c r="J2" s="31"/>
      <c r="K2" s="31"/>
      <c r="L2" s="31"/>
      <c r="M2" s="31"/>
      <c r="N2" s="31"/>
      <c r="O2" s="31"/>
      <c r="P2" s="31"/>
      <c r="Q2" s="4"/>
      <c r="R2" s="4"/>
    </row>
    <row r="3" spans="1:22" ht="15" customHeight="1">
      <c r="A3" s="130"/>
      <c r="B3" s="169"/>
      <c r="C3" s="169"/>
      <c r="D3" s="169"/>
      <c r="E3" s="169"/>
      <c r="F3" s="169"/>
      <c r="G3" s="169"/>
      <c r="H3" s="31"/>
      <c r="I3" s="31"/>
      <c r="J3" s="31"/>
      <c r="K3" s="31"/>
      <c r="L3" s="31"/>
      <c r="M3" s="31"/>
      <c r="N3" s="31"/>
      <c r="O3" s="31"/>
      <c r="P3" s="31"/>
      <c r="Q3" s="10"/>
      <c r="R3" s="10"/>
      <c r="S3" s="10"/>
      <c r="T3" s="10"/>
      <c r="U3" s="10"/>
      <c r="V3" s="10"/>
    </row>
    <row r="4" spans="1:22" ht="24.75" customHeight="1">
      <c r="A4" s="478" t="s">
        <v>64</v>
      </c>
      <c r="B4" s="478"/>
      <c r="C4" s="478"/>
      <c r="D4" s="478"/>
      <c r="E4" s="478"/>
      <c r="F4" s="482">
        <v>2003</v>
      </c>
      <c r="G4" s="487">
        <v>2004</v>
      </c>
      <c r="H4" s="482">
        <v>2005</v>
      </c>
      <c r="I4" s="487">
        <v>2006</v>
      </c>
      <c r="J4" s="482">
        <v>2007</v>
      </c>
      <c r="K4" s="487">
        <v>2008</v>
      </c>
      <c r="L4" s="482">
        <v>2009</v>
      </c>
      <c r="M4" s="487">
        <v>2010</v>
      </c>
      <c r="N4" s="482">
        <v>2011</v>
      </c>
      <c r="O4" s="482">
        <v>2012</v>
      </c>
      <c r="P4" s="482" t="s">
        <v>499</v>
      </c>
      <c r="Q4" s="480" t="s">
        <v>26</v>
      </c>
      <c r="R4" s="10"/>
      <c r="S4" s="10"/>
      <c r="T4" s="10"/>
      <c r="U4" s="10"/>
      <c r="V4" s="10"/>
    </row>
    <row r="5" spans="1:22" ht="24.75" customHeight="1">
      <c r="A5" s="479"/>
      <c r="B5" s="479"/>
      <c r="C5" s="479"/>
      <c r="D5" s="479"/>
      <c r="E5" s="479"/>
      <c r="F5" s="481"/>
      <c r="G5" s="488"/>
      <c r="H5" s="481"/>
      <c r="I5" s="488"/>
      <c r="J5" s="481"/>
      <c r="K5" s="488"/>
      <c r="L5" s="481"/>
      <c r="M5" s="488"/>
      <c r="N5" s="481"/>
      <c r="O5" s="481"/>
      <c r="P5" s="481"/>
      <c r="Q5" s="481"/>
      <c r="R5" s="10"/>
      <c r="S5" s="10"/>
      <c r="T5" s="10"/>
      <c r="U5" s="10"/>
      <c r="V5" s="10"/>
    </row>
    <row r="6" spans="1:17" ht="24.75" customHeight="1">
      <c r="A6" s="122" t="s">
        <v>563</v>
      </c>
      <c r="B6" s="79"/>
      <c r="C6" s="79"/>
      <c r="D6" s="79"/>
      <c r="E6" s="79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136"/>
    </row>
    <row r="7" spans="1:22" ht="24.75" customHeight="1">
      <c r="A7" s="155"/>
      <c r="B7" s="466" t="s">
        <v>236</v>
      </c>
      <c r="C7" s="466"/>
      <c r="D7" s="466"/>
      <c r="E7" s="466"/>
      <c r="F7" s="125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203"/>
      <c r="S7" s="16"/>
      <c r="V7" s="18"/>
    </row>
    <row r="8" spans="1:22" ht="24.75" customHeight="1">
      <c r="A8" s="155"/>
      <c r="B8" s="75" t="s">
        <v>48</v>
      </c>
      <c r="C8" s="155"/>
      <c r="D8" s="155"/>
      <c r="E8" s="155"/>
      <c r="F8" s="125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203"/>
      <c r="S8" s="16"/>
      <c r="V8" s="18"/>
    </row>
    <row r="9" spans="1:22" s="40" customFormat="1" ht="24.75" customHeight="1">
      <c r="A9" s="121"/>
      <c r="B9" s="204"/>
      <c r="C9" s="204" t="s">
        <v>237</v>
      </c>
      <c r="D9" s="204"/>
      <c r="E9" s="204"/>
      <c r="F9" s="279">
        <f>('C4 (Pág. 19)'!F58/'ipi nac'!B$8)*100</f>
        <v>2042.5523358503397</v>
      </c>
      <c r="G9" s="279">
        <f>('C4 (Pág. 19)'!G58/'ipi nac'!C$8)*100</f>
        <v>2092.610956897047</v>
      </c>
      <c r="H9" s="279">
        <f>('C4 (Pág. 19)'!H58/'ipi nac'!D$8)*100</f>
        <v>2007.8103227852055</v>
      </c>
      <c r="I9" s="279">
        <f>('C4 (Pág. 19)'!I58/'ipi nac'!E$8)*100</f>
        <v>2561.37416424378</v>
      </c>
      <c r="J9" s="279">
        <f>('C4 (Pág. 19)'!J58/'ipi nac'!F$8)*100</f>
        <v>2817.9569474018394</v>
      </c>
      <c r="K9" s="279">
        <f>('C4 (Pág. 19)'!K58/'ipi nac'!G$8)*100</f>
        <v>2882.629998166191</v>
      </c>
      <c r="L9" s="279">
        <f>('C4 (Pág. 19)'!L58/'ipi nac'!H$8)*100</f>
        <v>3118.6078741404367</v>
      </c>
      <c r="M9" s="279">
        <f>('C4 (Pág. 19)'!M58/'ipi nac'!I$8)*100</f>
        <v>3678.4444466544755</v>
      </c>
      <c r="N9" s="279">
        <f>('C4 (Pág. 19)'!N58/'ipi nac'!J$8)*100</f>
        <v>3275.72610976855</v>
      </c>
      <c r="O9" s="279">
        <f>('C4 (Pág. 19)'!O58/'ipi nac'!J$8)*100</f>
        <v>3261.592910172413</v>
      </c>
      <c r="P9" s="279">
        <f>('C4 (Pág. 19)'!P58/'ipi nac'!K$8)*100</f>
        <v>2265.605299418489</v>
      </c>
      <c r="Q9" s="174">
        <f aca="true" t="shared" si="0" ref="Q9:Q14">(((P9/F9)^(1/10))-1)*100</f>
        <v>1.0418073408879458</v>
      </c>
      <c r="R9" s="39"/>
      <c r="S9" s="16"/>
      <c r="V9" s="41"/>
    </row>
    <row r="10" spans="1:22" s="40" customFormat="1" ht="24.75" customHeight="1">
      <c r="A10" s="205"/>
      <c r="B10" s="206"/>
      <c r="C10" s="206" t="s">
        <v>258</v>
      </c>
      <c r="D10" s="206"/>
      <c r="E10" s="206"/>
      <c r="F10" s="280">
        <f>('C4 (Pág. 19)'!F59/'ipi nac'!B$8)*100</f>
        <v>1920.4655944865522</v>
      </c>
      <c r="G10" s="280">
        <f>('C4 (Pág. 19)'!G59/'ipi nac'!C$8)*100</f>
        <v>2280.587564971858</v>
      </c>
      <c r="H10" s="280">
        <f>('C4 (Pág. 19)'!H59/'ipi nac'!D$8)*100</f>
        <v>1916.556798549634</v>
      </c>
      <c r="I10" s="280">
        <f>('C4 (Pág. 19)'!I59/'ipi nac'!E$8)*100</f>
        <v>1781.8255055608904</v>
      </c>
      <c r="J10" s="280">
        <f>('C4 (Pág. 19)'!J59/'ipi nac'!F$8)*100</f>
        <v>2013.5873839657754</v>
      </c>
      <c r="K10" s="280">
        <f>('C4 (Pág. 19)'!K59/'ipi nac'!G$8)*100</f>
        <v>3849.9999975507903</v>
      </c>
      <c r="L10" s="280">
        <f>('C4 (Pág. 19)'!L59/'ipi nac'!H$8)*100</f>
        <v>2866.9612004000937</v>
      </c>
      <c r="M10" s="280">
        <f>('C4 (Pág. 19)'!M59/'ipi nac'!I$8)*100</f>
        <v>3112.2267479015904</v>
      </c>
      <c r="N10" s="280">
        <f>('C4 (Pág. 19)'!N59/'ipi nac'!J$8)*100</f>
        <v>2850.1551483959483</v>
      </c>
      <c r="O10" s="280">
        <f>('C4 (Pág. 19)'!O59/'ipi nac'!J$8)*100</f>
        <v>3067.2594105509547</v>
      </c>
      <c r="P10" s="280">
        <f>('C4 (Pág. 19)'!P59/'ipi nac'!K$8)*100</f>
        <v>2899.5789228087224</v>
      </c>
      <c r="Q10" s="175">
        <f t="shared" si="0"/>
        <v>4.206027522631461</v>
      </c>
      <c r="R10" s="39"/>
      <c r="S10" s="16"/>
      <c r="V10" s="41"/>
    </row>
    <row r="11" spans="1:22" s="40" customFormat="1" ht="24.75" customHeight="1">
      <c r="A11" s="121"/>
      <c r="B11" s="204"/>
      <c r="C11" s="204" t="s">
        <v>238</v>
      </c>
      <c r="D11" s="204"/>
      <c r="E11" s="204"/>
      <c r="F11" s="279">
        <f>('C4 (Pág. 19)'!F60/'ipi nac'!B$8)*100</f>
        <v>4132.430430993384</v>
      </c>
      <c r="G11" s="279">
        <f>('C4 (Pág. 19)'!G60/'ipi nac'!C$8)*100</f>
        <v>4780.864757762105</v>
      </c>
      <c r="H11" s="279">
        <f>('C4 (Pág. 19)'!H60/'ipi nac'!D$8)*100</f>
        <v>6918.087969228439</v>
      </c>
      <c r="I11" s="279">
        <f>('C4 (Pág. 19)'!I60/'ipi nac'!E$8)*100</f>
        <v>8148.132127198215</v>
      </c>
      <c r="J11" s="279">
        <f>('C4 (Pág. 19)'!J60/'ipi nac'!F$8)*100</f>
        <v>7724.078589286705</v>
      </c>
      <c r="K11" s="279">
        <f>('C4 (Pág. 19)'!K60/'ipi nac'!G$8)*100</f>
        <v>10166.669993532389</v>
      </c>
      <c r="L11" s="279">
        <f>('C4 (Pág. 19)'!L60/'ipi nac'!H$8)*100</f>
        <v>9679.924271352666</v>
      </c>
      <c r="M11" s="279">
        <f>('C4 (Pág. 19)'!M60/'ipi nac'!I$8)*100</f>
        <v>8758.201063463037</v>
      </c>
      <c r="N11" s="279">
        <f>('C4 (Pág. 19)'!N60/'ipi nac'!J$8)*100</f>
        <v>13910.898650623958</v>
      </c>
      <c r="O11" s="279">
        <f>('C4 (Pág. 19)'!O60/'ipi nac'!J$8)*100</f>
        <v>9043.337357018241</v>
      </c>
      <c r="P11" s="279">
        <f>('C4 (Pág. 19)'!P60/'ipi nac'!K$8)*100</f>
        <v>9080.989987751485</v>
      </c>
      <c r="Q11" s="174">
        <f t="shared" si="0"/>
        <v>8.191405971487198</v>
      </c>
      <c r="R11" s="39"/>
      <c r="S11" s="16"/>
      <c r="V11" s="41"/>
    </row>
    <row r="12" spans="1:22" s="40" customFormat="1" ht="24.75" customHeight="1">
      <c r="A12" s="205"/>
      <c r="B12" s="206"/>
      <c r="C12" s="206" t="s">
        <v>239</v>
      </c>
      <c r="D12" s="206"/>
      <c r="E12" s="206"/>
      <c r="F12" s="280">
        <f>('C4 (Pág. 19)'!F61/'ipi nac'!B$8)*100</f>
        <v>1785.0041820183042</v>
      </c>
      <c r="G12" s="280">
        <f>('C4 (Pág. 19)'!G61/'ipi nac'!C$8)*100</f>
        <v>1535.002813799636</v>
      </c>
      <c r="H12" s="280">
        <f>('C4 (Pág. 19)'!H61/'ipi nac'!D$8)*100</f>
        <v>1481.1238468082165</v>
      </c>
      <c r="I12" s="280">
        <f>('C4 (Pág. 19)'!I61/'ipi nac'!E$8)*100</f>
        <v>2004.5536937560016</v>
      </c>
      <c r="J12" s="280">
        <f>('C4 (Pág. 19)'!J61/'ipi nac'!F$8)*100</f>
        <v>2059.750739175954</v>
      </c>
      <c r="K12" s="280">
        <f>('C4 (Pág. 19)'!K61/'ipi nac'!G$8)*100</f>
        <v>1969.9999987467681</v>
      </c>
      <c r="L12" s="280">
        <f>('C4 (Pág. 19)'!L61/'ipi nac'!H$8)*100</f>
        <v>2161.5623587968503</v>
      </c>
      <c r="M12" s="280">
        <f>('C4 (Pág. 19)'!M61/'ipi nac'!I$8)*100</f>
        <v>3328.116404115954</v>
      </c>
      <c r="N12" s="280">
        <f>('C4 (Pág. 19)'!N61/'ipi nac'!J$8)*100</f>
        <v>2496.442352436299</v>
      </c>
      <c r="O12" s="280">
        <f>('C4 (Pág. 19)'!O61/'ipi nac'!J$8)*100</f>
        <v>2810.0981768408083</v>
      </c>
      <c r="P12" s="280">
        <f>('C4 (Pág. 19)'!P61/'ipi nac'!K$8)*100</f>
        <v>2089.6174243394717</v>
      </c>
      <c r="Q12" s="175">
        <f t="shared" si="0"/>
        <v>1.5880804691496664</v>
      </c>
      <c r="R12" s="39"/>
      <c r="S12" s="16"/>
      <c r="V12" s="41"/>
    </row>
    <row r="13" spans="1:22" s="40" customFormat="1" ht="24.75" customHeight="1">
      <c r="A13" s="121"/>
      <c r="B13" s="204"/>
      <c r="C13" s="204" t="s">
        <v>240</v>
      </c>
      <c r="D13" s="204"/>
      <c r="E13" s="204"/>
      <c r="F13" s="279">
        <f>('C4 (Pág. 19)'!F62/'ipi nac'!B$8)*100</f>
        <v>2345.7115475514315</v>
      </c>
      <c r="G13" s="279">
        <f>('C4 (Pág. 19)'!G62/'ipi nac'!C$8)*100</f>
        <v>2284.7721293112554</v>
      </c>
      <c r="H13" s="279">
        <f>('C4 (Pág. 19)'!H62/'ipi nac'!D$8)*100</f>
        <v>2095.1064237758665</v>
      </c>
      <c r="I13" s="279">
        <f>('C4 (Pág. 19)'!I62/'ipi nac'!E$8)*100</f>
        <v>2115.9177878535575</v>
      </c>
      <c r="J13" s="279">
        <f>('C4 (Pág. 19)'!J62/'ipi nac'!F$8)*100</f>
        <v>2237.3193155175286</v>
      </c>
      <c r="K13" s="279">
        <f>('C4 (Pág. 19)'!K62/'ipi nac'!G$8)*100</f>
        <v>2099.999998664068</v>
      </c>
      <c r="L13" s="279">
        <f>('C4 (Pág. 19)'!L62/'ipi nac'!H$8)*100</f>
        <v>3283.9797095123067</v>
      </c>
      <c r="M13" s="279">
        <f>('C4 (Pág. 19)'!M62/'ipi nac'!I$8)*100</f>
        <v>3306.2209014572963</v>
      </c>
      <c r="N13" s="279">
        <f>('C4 (Pág. 19)'!N62/'ipi nac'!J$8)*100</f>
        <v>3709.572973499722</v>
      </c>
      <c r="O13" s="279">
        <f>('C4 (Pág. 19)'!O62/'ipi nac'!J$8)*100</f>
        <v>2992.2217674080866</v>
      </c>
      <c r="P13" s="279">
        <f>('C4 (Pág. 19)'!P62/'ipi nac'!K$8)*100</f>
        <v>2879.9874045307724</v>
      </c>
      <c r="Q13" s="174">
        <f t="shared" si="0"/>
        <v>2.073169003975295</v>
      </c>
      <c r="R13" s="39"/>
      <c r="S13" s="16"/>
      <c r="V13" s="41"/>
    </row>
    <row r="14" spans="1:22" s="40" customFormat="1" ht="24.75" customHeight="1">
      <c r="A14" s="205"/>
      <c r="B14" s="206"/>
      <c r="C14" s="206" t="s">
        <v>259</v>
      </c>
      <c r="D14" s="206"/>
      <c r="E14" s="206"/>
      <c r="F14" s="280">
        <f>('C4 (Pág. 19)'!F63/'ipi nac'!B$8)*100</f>
        <v>4080.989388283923</v>
      </c>
      <c r="G14" s="280">
        <f>('C4 (Pág. 19)'!G63/'ipi nac'!C$8)*100</f>
        <v>3000.3326313482967</v>
      </c>
      <c r="H14" s="280">
        <f>('C4 (Pág. 19)'!H63/'ipi nac'!D$8)*100</f>
        <v>2802.2048418002214</v>
      </c>
      <c r="I14" s="280">
        <f>('C4 (Pág. 19)'!I63/'ipi nac'!E$8)*100</f>
        <v>3006.830540634003</v>
      </c>
      <c r="J14" s="280">
        <f>('C4 (Pág. 19)'!J63/'ipi nac'!F$8)*100</f>
        <v>2610.2058681037834</v>
      </c>
      <c r="K14" s="280">
        <f>('C4 (Pág. 19)'!K63/'ipi nac'!G$8)*100</f>
        <v>3783.9999975927767</v>
      </c>
      <c r="L14" s="280">
        <f>('C4 (Pág. 19)'!L63/'ipi nac'!H$8)*100</f>
        <v>4624.31808021833</v>
      </c>
      <c r="M14" s="280">
        <f>('C4 (Pág. 19)'!M63/'ipi nac'!I$8)*100</f>
        <v>4795.597482850675</v>
      </c>
      <c r="N14" s="280">
        <f>('C4 (Pág. 19)'!N63/'ipi nac'!J$8)*100</f>
        <v>5038.581604509442</v>
      </c>
      <c r="O14" s="280">
        <f>('C4 (Pág. 19)'!O63/'ipi nac'!J$8)*100</f>
        <v>6131.426841899133</v>
      </c>
      <c r="P14" s="280">
        <f>('C4 (Pág. 19)'!P63/'ipi nac'!K$8)*100</f>
        <v>4578.29951448031</v>
      </c>
      <c r="Q14" s="175">
        <f t="shared" si="0"/>
        <v>1.1565184346879365</v>
      </c>
      <c r="R14" s="39"/>
      <c r="S14" s="16"/>
      <c r="V14" s="41"/>
    </row>
    <row r="15" spans="1:17" ht="24.75" customHeight="1">
      <c r="A15" s="122" t="s">
        <v>457</v>
      </c>
      <c r="B15" s="79"/>
      <c r="C15" s="79"/>
      <c r="D15" s="79"/>
      <c r="E15" s="79"/>
      <c r="F15" s="144"/>
      <c r="G15" s="144"/>
      <c r="H15" s="144"/>
      <c r="I15" s="144"/>
      <c r="J15" s="144"/>
      <c r="K15" s="144"/>
      <c r="L15" s="143"/>
      <c r="M15" s="143"/>
      <c r="Q15" s="143"/>
    </row>
    <row r="16" spans="1:22" ht="24.75" customHeight="1">
      <c r="A16" s="75"/>
      <c r="B16" s="75" t="s">
        <v>242</v>
      </c>
      <c r="C16" s="75"/>
      <c r="D16" s="75"/>
      <c r="E16" s="84"/>
      <c r="F16" s="143"/>
      <c r="G16" s="143"/>
      <c r="H16" s="143"/>
      <c r="I16" s="143"/>
      <c r="J16" s="143"/>
      <c r="K16" s="143"/>
      <c r="L16" s="175"/>
      <c r="M16" s="175"/>
      <c r="Q16" s="175"/>
      <c r="S16" s="16"/>
      <c r="V16" s="18"/>
    </row>
    <row r="17" spans="1:22" ht="24.75" customHeight="1">
      <c r="A17" s="75"/>
      <c r="B17" s="75"/>
      <c r="C17" s="75" t="s">
        <v>243</v>
      </c>
      <c r="D17" s="75"/>
      <c r="E17" s="84"/>
      <c r="F17" s="143"/>
      <c r="G17" s="143"/>
      <c r="H17" s="143"/>
      <c r="I17" s="143"/>
      <c r="J17" s="143"/>
      <c r="K17" s="143"/>
      <c r="L17" s="175"/>
      <c r="M17" s="175"/>
      <c r="Q17" s="175"/>
      <c r="S17" s="16"/>
      <c r="V17" s="18"/>
    </row>
    <row r="18" spans="1:22" ht="24.75" customHeight="1">
      <c r="A18" s="70"/>
      <c r="B18" s="70"/>
      <c r="C18" s="70" t="s">
        <v>49</v>
      </c>
      <c r="D18" s="70"/>
      <c r="E18" s="85"/>
      <c r="F18" s="279">
        <f>('C4 (Pág. 19)'!F67/'C5 (Pág. 21)'!F$12)*100</f>
        <v>11.56081432950757</v>
      </c>
      <c r="G18" s="279">
        <f>('C4 (Pág. 19)'!G67/'C5 (Pág. 21)'!G$12)*100</f>
        <v>9.289593336294926</v>
      </c>
      <c r="H18" s="279">
        <f>('C4 (Pág. 19)'!H67/'C5 (Pág. 21)'!H$12)*100</f>
        <v>12.38148502592412</v>
      </c>
      <c r="I18" s="279">
        <f>('C4 (Pág. 19)'!I67/'C5 (Pág. 21)'!I$12)*100</f>
        <v>12.690060488369248</v>
      </c>
      <c r="J18" s="279">
        <f>('C4 (Pág. 19)'!J67/'C5 (Pág. 21)'!J$12)*100</f>
        <v>12.13215224905226</v>
      </c>
      <c r="K18" s="279">
        <f>('C4 (Pág. 19)'!K67/'C5 (Pág. 21)'!K$12)*100</f>
        <v>11.632609579772911</v>
      </c>
      <c r="L18" s="279">
        <f>('C4 (Pág. 19)'!L67/'C5 (Pág. 21)'!L$12)*100</f>
        <v>13.97365076042478</v>
      </c>
      <c r="M18" s="279">
        <f>('C4 (Pág. 19)'!M67/'C5 (Pág. 21)'!M$12)*100</f>
        <v>12.40900380257048</v>
      </c>
      <c r="N18" s="279">
        <f>('C4 (Pág. 19)'!N67/'C5 (Pág. 21)'!N$12)*100</f>
        <v>14.787109733368098</v>
      </c>
      <c r="O18" s="279">
        <f>('C4 (Pág. 19)'!O67/'C5 (Pág. 21)'!O$12)*100</f>
        <v>11.080133524793464</v>
      </c>
      <c r="P18" s="279">
        <f>('C4 (Pág. 19)'!P67/'C5 (Pág. 21)'!P$12)*100</f>
        <v>8.049826021451377</v>
      </c>
      <c r="Q18" s="174">
        <f>(((P18/F18)^(1/10))-1)*100</f>
        <v>-3.554980155652987</v>
      </c>
      <c r="S18" s="16"/>
      <c r="V18" s="18"/>
    </row>
    <row r="19" spans="1:22" ht="24.75" customHeight="1">
      <c r="A19" s="75"/>
      <c r="B19" s="75"/>
      <c r="C19" s="75" t="s">
        <v>244</v>
      </c>
      <c r="D19" s="75"/>
      <c r="E19" s="84"/>
      <c r="F19" s="280"/>
      <c r="G19" s="280"/>
      <c r="H19" s="280"/>
      <c r="I19" s="280"/>
      <c r="J19" s="280"/>
      <c r="K19" s="280"/>
      <c r="L19" s="287"/>
      <c r="M19" s="287"/>
      <c r="N19" s="289"/>
      <c r="O19" s="289"/>
      <c r="P19" s="289"/>
      <c r="Q19" s="175"/>
      <c r="S19" s="16"/>
      <c r="V19" s="18"/>
    </row>
    <row r="20" spans="1:22" ht="24.75" customHeight="1">
      <c r="A20" s="75"/>
      <c r="B20" s="75"/>
      <c r="C20" s="75" t="s">
        <v>49</v>
      </c>
      <c r="D20" s="75"/>
      <c r="E20" s="84"/>
      <c r="F20" s="280">
        <f>('C4 (Pág. 19)'!F69/'C5 (Pág. 21)'!F$12)*100</f>
        <v>15.247263916407992</v>
      </c>
      <c r="G20" s="280">
        <f>('C4 (Pág. 19)'!G69/'C5 (Pág. 21)'!G$12)*100</f>
        <v>12.240102176810234</v>
      </c>
      <c r="H20" s="280">
        <f>('C4 (Pág. 19)'!H69/'C5 (Pág. 21)'!H$12)*100</f>
        <v>10.960045657389024</v>
      </c>
      <c r="I20" s="280">
        <f>('C4 (Pág. 19)'!I69/'C5 (Pág. 21)'!I$12)*100</f>
        <v>14.559417840763587</v>
      </c>
      <c r="J20" s="280">
        <f>('C4 (Pág. 19)'!J69/'C5 (Pág. 21)'!J$12)*100</f>
        <v>16.63046096014779</v>
      </c>
      <c r="K20" s="280">
        <f>('C4 (Pág. 19)'!K69/'C5 (Pág. 21)'!K$12)*100</f>
        <v>18.5384551550901</v>
      </c>
      <c r="L20" s="280">
        <f>('C4 (Pág. 19)'!L69/'C5 (Pág. 21)'!L$12)*100</f>
        <v>17.3650086977863</v>
      </c>
      <c r="M20" s="280">
        <f>('C4 (Pág. 19)'!M69/'C5 (Pág. 21)'!M$12)*100</f>
        <v>14.166536618754211</v>
      </c>
      <c r="N20" s="280">
        <f>('C4 (Pág. 19)'!N69/'C5 (Pág. 21)'!N$12)*100</f>
        <v>18.53874788609421</v>
      </c>
      <c r="O20" s="280">
        <f>('C4 (Pág. 19)'!O69/'C5 (Pág. 21)'!O$12)*100</f>
        <v>24.112787423307164</v>
      </c>
      <c r="P20" s="280">
        <f>('C4 (Pág. 19)'!P69/'C5 (Pág. 21)'!P$12)*100</f>
        <v>21.88183807439825</v>
      </c>
      <c r="Q20" s="175">
        <f>(((P20/F20)^(1/10))-1)*100</f>
        <v>3.6786152932173133</v>
      </c>
      <c r="S20" s="16"/>
      <c r="V20" s="18"/>
    </row>
    <row r="21" spans="1:22" ht="24.75" customHeight="1">
      <c r="A21" s="75"/>
      <c r="B21" s="75"/>
      <c r="C21" s="75" t="s">
        <v>245</v>
      </c>
      <c r="D21" s="75"/>
      <c r="E21" s="84"/>
      <c r="F21" s="280"/>
      <c r="G21" s="280"/>
      <c r="H21" s="280"/>
      <c r="I21" s="280"/>
      <c r="J21" s="280"/>
      <c r="K21" s="280"/>
      <c r="L21" s="287"/>
      <c r="M21" s="287"/>
      <c r="N21" s="289"/>
      <c r="O21" s="289"/>
      <c r="P21" s="289"/>
      <c r="Q21" s="175"/>
      <c r="S21" s="16"/>
      <c r="V21" s="18"/>
    </row>
    <row r="22" spans="1:22" ht="24.75" customHeight="1">
      <c r="A22" s="70"/>
      <c r="B22" s="70"/>
      <c r="C22" s="70" t="s">
        <v>49</v>
      </c>
      <c r="D22" s="70"/>
      <c r="E22" s="85"/>
      <c r="F22" s="279">
        <f>('C4 (Pág. 20)'!F7/'C5 (Pág. 21)'!F$12)*100</f>
        <v>15.924920090470568</v>
      </c>
      <c r="G22" s="279">
        <f>('C4 (Pág. 20)'!G7/'C5 (Pág. 21)'!G$12)*100</f>
        <v>12.884318080852877</v>
      </c>
      <c r="H22" s="279">
        <f>('C4 (Pág. 20)'!H7/'C5 (Pág. 21)'!H$12)*100</f>
        <v>11.571015210531302</v>
      </c>
      <c r="I22" s="279">
        <f>('C4 (Pág. 20)'!I7/'C5 (Pág. 21)'!I$12)*100</f>
        <v>15.182536958228363</v>
      </c>
      <c r="J22" s="279">
        <f>('C4 (Pág. 20)'!J7/'C5 (Pág. 21)'!J$12)*100</f>
        <v>16.69975454748174</v>
      </c>
      <c r="K22" s="279">
        <f>('C4 (Pág. 20)'!K7/'C5 (Pág. 21)'!K$12)*100</f>
        <v>19.026309238118788</v>
      </c>
      <c r="L22" s="279">
        <f>('C4 (Pág. 20)'!L7/'C5 (Pág. 21)'!L$12)*100</f>
        <v>18.045373716084132</v>
      </c>
      <c r="M22" s="279">
        <f>('C4 (Pág. 20)'!M7/'C5 (Pág. 21)'!M$12)*100</f>
        <v>14.56757091794046</v>
      </c>
      <c r="N22" s="279">
        <f>('C4 (Pág. 20)'!N7/'C5 (Pág. 21)'!N$12)*100</f>
        <v>19.133531267648756</v>
      </c>
      <c r="O22" s="279">
        <f>('C4 (Pág. 20)'!O7/'C5 (Pág. 21)'!O$12)*100</f>
        <v>25.222385916491056</v>
      </c>
      <c r="P22" s="279">
        <f>('C4 (Pág. 20)'!P7/'C5 (Pág. 21)'!P$12)*100</f>
        <v>22.132941134268393</v>
      </c>
      <c r="Q22" s="174">
        <f>(((P22/F22)^(1/10))-1)*100</f>
        <v>3.346598423475955</v>
      </c>
      <c r="S22" s="16"/>
      <c r="V22" s="18"/>
    </row>
    <row r="23" spans="1:22" ht="24.75" customHeight="1">
      <c r="A23" s="75"/>
      <c r="B23" s="75"/>
      <c r="C23" s="75" t="s">
        <v>246</v>
      </c>
      <c r="D23" s="75"/>
      <c r="E23" s="84"/>
      <c r="F23" s="280"/>
      <c r="G23" s="280"/>
      <c r="H23" s="280"/>
      <c r="I23" s="280"/>
      <c r="J23" s="280"/>
      <c r="K23" s="280"/>
      <c r="L23" s="287"/>
      <c r="M23" s="287"/>
      <c r="N23" s="289"/>
      <c r="O23" s="289"/>
      <c r="P23" s="289"/>
      <c r="Q23" s="175"/>
      <c r="S23" s="16"/>
      <c r="V23" s="18"/>
    </row>
    <row r="24" spans="1:22" ht="24.75" customHeight="1">
      <c r="A24" s="75"/>
      <c r="B24" s="75"/>
      <c r="C24" s="75" t="s">
        <v>50</v>
      </c>
      <c r="D24" s="75"/>
      <c r="E24" s="84"/>
      <c r="F24" s="280">
        <f>('C4 (Pág. 20)'!F9/'C5 (Pág. 21)'!F$12)*100</f>
        <v>1.0842498785001238</v>
      </c>
      <c r="G24" s="280">
        <f>('C4 (Pág. 20)'!G9/'C5 (Pág. 21)'!G$12)*100</f>
        <v>1.0307454464682304</v>
      </c>
      <c r="H24" s="280">
        <f>('C4 (Pág. 20)'!H9/'C5 (Pág. 21)'!H$12)*100</f>
        <v>1.122188975159286</v>
      </c>
      <c r="I24" s="280">
        <f>('C4 (Pág. 20)'!I9/'C5 (Pág. 21)'!I$12)*100</f>
        <v>1.1264076354171002</v>
      </c>
      <c r="J24" s="280">
        <f>('C4 (Pág. 20)'!J9/'C5 (Pág. 21)'!J$12)*100</f>
        <v>1.2593592835232674</v>
      </c>
      <c r="K24" s="280">
        <f>('C4 (Pág. 20)'!K9/'C5 (Pág. 21)'!K$12)*100</f>
        <v>1.4705073940180662</v>
      </c>
      <c r="L24" s="280">
        <f>('C4 (Pág. 20)'!L9/'C5 (Pág. 21)'!L$12)*100</f>
        <v>1.2769928035743994</v>
      </c>
      <c r="M24" s="280">
        <f>('C4 (Pág. 20)'!M9/'C5 (Pág. 21)'!M$12)*100</f>
        <v>1.2231546125180564</v>
      </c>
      <c r="N24" s="280">
        <f>('C4 (Pág. 20)'!N9/'C5 (Pág. 21)'!N$12)*100</f>
        <v>1.4002761924076057</v>
      </c>
      <c r="O24" s="280">
        <f>('C4 (Pág. 20)'!O9/'C5 (Pág. 21)'!O$12)*100</f>
        <v>1.3706804915801056</v>
      </c>
      <c r="P24" s="280">
        <f>('C4 (Pág. 20)'!P9/'C5 (Pág. 21)'!P$12)*100</f>
        <v>1.2913871650464541</v>
      </c>
      <c r="Q24" s="175">
        <f>(((P24/F24)^(1/10))-1)*100</f>
        <v>1.7636576728253806</v>
      </c>
      <c r="S24" s="16"/>
      <c r="V24" s="18"/>
    </row>
    <row r="25" spans="1:17" ht="24.75" customHeight="1">
      <c r="A25" s="122" t="s">
        <v>564</v>
      </c>
      <c r="B25" s="79"/>
      <c r="C25" s="79"/>
      <c r="D25" s="79"/>
      <c r="E25" s="79"/>
      <c r="F25" s="281"/>
      <c r="G25" s="281"/>
      <c r="H25" s="281"/>
      <c r="I25" s="281"/>
      <c r="J25" s="281"/>
      <c r="K25" s="281"/>
      <c r="L25" s="280"/>
      <c r="M25" s="280"/>
      <c r="N25" s="289"/>
      <c r="O25" s="289"/>
      <c r="P25" s="289"/>
      <c r="Q25" s="143"/>
    </row>
    <row r="26" spans="1:22" ht="24.75" customHeight="1">
      <c r="A26" s="75"/>
      <c r="B26" s="84" t="s">
        <v>260</v>
      </c>
      <c r="C26" s="75"/>
      <c r="D26" s="75"/>
      <c r="E26" s="84"/>
      <c r="F26" s="280"/>
      <c r="G26" s="280"/>
      <c r="H26" s="280"/>
      <c r="I26" s="280"/>
      <c r="J26" s="280"/>
      <c r="K26" s="280"/>
      <c r="L26" s="287"/>
      <c r="M26" s="287"/>
      <c r="N26" s="289"/>
      <c r="O26" s="289"/>
      <c r="P26" s="289"/>
      <c r="Q26" s="175"/>
      <c r="S26" s="16"/>
      <c r="V26" s="18"/>
    </row>
    <row r="27" spans="1:22" ht="24.75" customHeight="1">
      <c r="A27" s="75"/>
      <c r="B27" s="84" t="s">
        <v>51</v>
      </c>
      <c r="C27" s="75"/>
      <c r="D27" s="75"/>
      <c r="E27" s="84"/>
      <c r="F27" s="280"/>
      <c r="G27" s="280"/>
      <c r="H27" s="280"/>
      <c r="I27" s="280"/>
      <c r="J27" s="280"/>
      <c r="K27" s="280"/>
      <c r="L27" s="287"/>
      <c r="M27" s="287"/>
      <c r="N27" s="289"/>
      <c r="O27" s="289"/>
      <c r="P27" s="289"/>
      <c r="Q27" s="175"/>
      <c r="S27" s="16"/>
      <c r="V27" s="18"/>
    </row>
    <row r="28" spans="1:22" ht="24.75" customHeight="1">
      <c r="A28" s="85"/>
      <c r="B28" s="85"/>
      <c r="C28" s="85" t="s">
        <v>249</v>
      </c>
      <c r="D28" s="85"/>
      <c r="E28" s="85"/>
      <c r="F28" s="279">
        <f>('C4 (Pág. 20)'!F13/'C5 (Pág. 21)'!F$18)*100</f>
        <v>8.151461176831582</v>
      </c>
      <c r="G28" s="279">
        <f>('C4 (Pág. 20)'!G13/'C5 (Pág. 21)'!G$18)*100</f>
        <v>7.750282364143189</v>
      </c>
      <c r="H28" s="279">
        <f>('C4 (Pág. 20)'!H13/'C5 (Pág. 21)'!H$18)*100</f>
        <v>7.648099698114585</v>
      </c>
      <c r="I28" s="279">
        <f>('C4 (Pág. 20)'!I13/'C5 (Pág. 21)'!I$18)*100</f>
        <v>7.495064464222928</v>
      </c>
      <c r="J28" s="279">
        <f>('C4 (Pág. 20)'!J13/'C5 (Pág. 21)'!J$18)*100</f>
        <v>7.4306878173564295</v>
      </c>
      <c r="K28" s="279">
        <f>('C4 (Pág. 20)'!K13/'C5 (Pág. 21)'!K$18)*100</f>
        <v>7.700000000471164</v>
      </c>
      <c r="L28" s="279">
        <f>('C4 (Pág. 20)'!L13/'C5 (Pág. 21)'!L$18)*100</f>
        <v>7.504568268968348</v>
      </c>
      <c r="M28" s="279">
        <f>('C4 (Pág. 20)'!M13/'C5 (Pág. 21)'!M$18)*100</f>
        <v>8.097560391451335</v>
      </c>
      <c r="N28" s="279">
        <f>('C4 (Pág. 20)'!N13/'C5 (Pág. 21)'!N$18)*100</f>
        <v>8.553610653109404</v>
      </c>
      <c r="O28" s="279">
        <f>('C4 (Pág. 20)'!O13/'C5 (Pág. 21)'!O$18)*100</f>
        <v>9.195371177551731</v>
      </c>
      <c r="P28" s="279">
        <f>('C4 (Pág. 20)'!P13/'C5 (Pág. 21)'!P$18)*100</f>
        <v>10.130284280705268</v>
      </c>
      <c r="Q28" s="174">
        <f>(((P28/F28)^(1/10))-1)*100</f>
        <v>2.197110505665023</v>
      </c>
      <c r="S28" s="16"/>
      <c r="V28" s="8"/>
    </row>
    <row r="29" spans="1:22" ht="24.75" customHeight="1">
      <c r="A29" s="84"/>
      <c r="B29" s="84"/>
      <c r="C29" s="84" t="s">
        <v>250</v>
      </c>
      <c r="D29" s="84"/>
      <c r="E29" s="84"/>
      <c r="F29" s="280">
        <f>('C4 (Pág. 20)'!F14/'C5 (Pág. 21)'!F$18)*100</f>
        <v>9.150150128959956</v>
      </c>
      <c r="G29" s="280">
        <f>('C4 (Pág. 20)'!G14/'C5 (Pág. 21)'!G$18)*100</f>
        <v>9.158291861165987</v>
      </c>
      <c r="H29" s="280">
        <f>('C4 (Pág. 20)'!H14/'C5 (Pág. 21)'!H$18)*100</f>
        <v>9.042961775977833</v>
      </c>
      <c r="I29" s="280">
        <f>('C4 (Pág. 20)'!I14/'C5 (Pág. 21)'!I$18)*100</f>
        <v>9.229827159206277</v>
      </c>
      <c r="J29" s="280">
        <f>('C4 (Pág. 20)'!J14/'C5 (Pág. 21)'!J$18)*100</f>
        <v>9.253909364553728</v>
      </c>
      <c r="K29" s="280">
        <f>('C4 (Pág. 20)'!K14/'C5 (Pág. 21)'!K$18)*100</f>
        <v>9.570000000585589</v>
      </c>
      <c r="L29" s="280">
        <f>('C4 (Pág. 20)'!L14/'C5 (Pág. 21)'!L$18)*100</f>
        <v>9.243078292667581</v>
      </c>
      <c r="M29" s="280">
        <f>('C4 (Pág. 20)'!M14/'C5 (Pág. 21)'!M$18)*100</f>
        <v>9.336228305212154</v>
      </c>
      <c r="N29" s="280">
        <f>('C4 (Pág. 20)'!N14/'C5 (Pág. 21)'!N$18)*100</f>
        <v>9.309633794083103</v>
      </c>
      <c r="O29" s="280">
        <f>('C4 (Pág. 20)'!O14/'C5 (Pág. 21)'!O$18)*100</f>
        <v>9.672610089454324</v>
      </c>
      <c r="P29" s="280">
        <f>('C4 (Pág. 20)'!P14/'C5 (Pág. 21)'!P$18)*100</f>
        <v>10.435111466398379</v>
      </c>
      <c r="Q29" s="175">
        <f>(((P29/F29)^(1/10))-1)*100</f>
        <v>1.3227310596830577</v>
      </c>
      <c r="S29" s="16"/>
      <c r="V29" s="8"/>
    </row>
    <row r="30" spans="1:22" ht="24.75" customHeight="1">
      <c r="A30" s="75"/>
      <c r="B30" s="75" t="s">
        <v>251</v>
      </c>
      <c r="C30" s="75"/>
      <c r="D30" s="75"/>
      <c r="E30" s="84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175"/>
      <c r="R30" s="2"/>
      <c r="S30" s="16"/>
      <c r="V30" s="8"/>
    </row>
    <row r="31" spans="1:22" ht="24.75" customHeight="1">
      <c r="A31" s="85"/>
      <c r="B31" s="85" t="s">
        <v>51</v>
      </c>
      <c r="C31" s="85"/>
      <c r="D31" s="85"/>
      <c r="E31" s="85"/>
      <c r="F31" s="279">
        <f>('C4 (Pág. 20)'!F16/'C5 (Pág. 21)'!F$18)*100</f>
        <v>6.76139412184209</v>
      </c>
      <c r="G31" s="279">
        <f>('C4 (Pág. 20)'!G16/'C5 (Pág. 21)'!G$18)*100</f>
        <v>6.429494694369592</v>
      </c>
      <c r="H31" s="279">
        <f>('C4 (Pág. 20)'!H16/'C5 (Pág. 21)'!H$18)*100</f>
        <v>6.276879350384614</v>
      </c>
      <c r="I31" s="279">
        <f>('C4 (Pág. 20)'!I16/'C5 (Pág. 21)'!I$18)*100</f>
        <v>6.338556000900695</v>
      </c>
      <c r="J31" s="279">
        <f>('C4 (Pág. 20)'!J16/'C5 (Pág. 21)'!J$18)*100</f>
        <v>6.285874287720916</v>
      </c>
      <c r="K31" s="279">
        <f>('C4 (Pág. 20)'!K16/'C5 (Pág. 21)'!K$18)*100</f>
        <v>7.330000000448524</v>
      </c>
      <c r="L31" s="279">
        <f>('C4 (Pág. 20)'!L16/'C5 (Pág. 21)'!L$18)*100</f>
        <v>7.881245440769849</v>
      </c>
      <c r="M31" s="279">
        <f>('C4 (Pág. 20)'!M16/'C5 (Pág. 21)'!M$18)*100</f>
        <v>8.43033684589454</v>
      </c>
      <c r="N31" s="279">
        <f>('C4 (Pág. 20)'!N16/'C5 (Pág. 21)'!N$18)*100</f>
        <v>8.870085456307695</v>
      </c>
      <c r="O31" s="279">
        <f>('C4 (Pág. 20)'!O16/'C5 (Pág. 21)'!O$18)*100</f>
        <v>9.502167620917684</v>
      </c>
      <c r="P31" s="279">
        <f>('C4 (Pág. 20)'!P16/'C5 (Pág. 21)'!P$18)*100</f>
        <v>10.43093575152587</v>
      </c>
      <c r="Q31" s="174">
        <f>(((P31/F31)^(1/10))-1)*100</f>
        <v>4.430823302517339</v>
      </c>
      <c r="S31" s="16"/>
      <c r="V31" s="8"/>
    </row>
    <row r="32" spans="1:22" ht="24.75" customHeight="1">
      <c r="A32" s="197"/>
      <c r="B32" s="197"/>
      <c r="C32" s="197"/>
      <c r="D32" s="197"/>
      <c r="E32" s="198"/>
      <c r="F32" s="199"/>
      <c r="G32" s="199"/>
      <c r="H32" s="199"/>
      <c r="I32" s="199"/>
      <c r="J32" s="199"/>
      <c r="K32" s="199"/>
      <c r="L32" s="199"/>
      <c r="M32" s="199"/>
      <c r="N32" s="199"/>
      <c r="O32" s="51"/>
      <c r="P32" s="51"/>
      <c r="Q32" s="207"/>
      <c r="S32" s="16"/>
      <c r="V32" s="8"/>
    </row>
    <row r="33" spans="1:17" s="36" customFormat="1" ht="30.75" customHeight="1">
      <c r="A33" s="492" t="s">
        <v>611</v>
      </c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</row>
    <row r="34" spans="1:17" s="36" customFormat="1" ht="15.75">
      <c r="A34" s="491" t="s">
        <v>554</v>
      </c>
      <c r="B34" s="491"/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</row>
    <row r="35" spans="1:17" s="82" customFormat="1" ht="12">
      <c r="A35" s="352" t="s">
        <v>7</v>
      </c>
      <c r="B35" s="353" t="s">
        <v>496</v>
      </c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4"/>
    </row>
    <row r="36" spans="1:17" s="82" customFormat="1" ht="12">
      <c r="A36" s="352"/>
      <c r="B36" s="353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4"/>
    </row>
    <row r="37" spans="1:17" ht="15">
      <c r="A37" s="352" t="s">
        <v>599</v>
      </c>
      <c r="B37" s="355"/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6"/>
    </row>
    <row r="73" spans="1:17" ht="18">
      <c r="A73" s="477"/>
      <c r="B73" s="477"/>
      <c r="C73" s="477"/>
      <c r="D73" s="477"/>
      <c r="E73" s="477"/>
      <c r="F73" s="477"/>
      <c r="G73" s="477"/>
      <c r="H73" s="477"/>
      <c r="I73" s="477"/>
      <c r="J73" s="477"/>
      <c r="K73" s="477"/>
      <c r="L73" s="477"/>
      <c r="M73" s="477"/>
      <c r="N73" s="477"/>
      <c r="O73" s="477"/>
      <c r="P73" s="477"/>
      <c r="Q73" s="477"/>
    </row>
  </sheetData>
  <sheetProtection/>
  <mergeCells count="17">
    <mergeCell ref="A73:Q73"/>
    <mergeCell ref="A34:Q34"/>
    <mergeCell ref="Q4:Q5"/>
    <mergeCell ref="A4:E5"/>
    <mergeCell ref="B7:E7"/>
    <mergeCell ref="A33:Q33"/>
    <mergeCell ref="F4:F5"/>
    <mergeCell ref="G4:G5"/>
    <mergeCell ref="H4:H5"/>
    <mergeCell ref="P4:P5"/>
    <mergeCell ref="O4:O5"/>
    <mergeCell ref="I4:I5"/>
    <mergeCell ref="J4:J5"/>
    <mergeCell ref="K4:K5"/>
    <mergeCell ref="L4:L5"/>
    <mergeCell ref="M4:M5"/>
    <mergeCell ref="N4:N5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scale="43" r:id="rId2"/>
  <headerFooter alignWithMargins="0">
    <oddHeader>&amp;C
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tabColor theme="9" tint="-0.24997000396251678"/>
  </sheetPr>
  <dimension ref="A1:V87"/>
  <sheetViews>
    <sheetView showGridLines="0" view="pageBreakPreview" zoomScale="79" zoomScaleNormal="80" zoomScaleSheetLayoutView="79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M8" sqref="M8"/>
    </sheetView>
  </sheetViews>
  <sheetFormatPr defaultColWidth="9.77734375" defaultRowHeight="15.75"/>
  <cols>
    <col min="1" max="4" width="2.77734375" style="4" customWidth="1"/>
    <col min="5" max="5" width="25.6640625" style="4" customWidth="1"/>
    <col min="6" max="15" width="11.77734375" style="4" customWidth="1"/>
    <col min="16" max="16" width="1.77734375" style="4" customWidth="1"/>
    <col min="17" max="18" width="11.77734375" style="4" customWidth="1"/>
    <col min="19" max="21" width="9.77734375" style="4" customWidth="1"/>
    <col min="22" max="22" width="12.77734375" style="4" customWidth="1"/>
    <col min="23" max="23" width="10.10546875" style="4" bestFit="1" customWidth="1"/>
    <col min="24" max="29" width="9.77734375" style="4" customWidth="1"/>
    <col min="30" max="31" width="5.77734375" style="4" customWidth="1"/>
    <col min="32" max="34" width="9.77734375" style="4" customWidth="1"/>
    <col min="35" max="35" width="12.77734375" style="4" customWidth="1"/>
    <col min="36" max="16384" width="9.77734375" style="4" customWidth="1"/>
  </cols>
  <sheetData>
    <row r="1" spans="1:18" ht="24.75" customHeight="1">
      <c r="A1" s="170" t="s">
        <v>261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209" t="s">
        <v>262</v>
      </c>
    </row>
    <row r="2" spans="1:18" ht="24.75" customHeight="1">
      <c r="A2" s="170" t="s">
        <v>512</v>
      </c>
      <c r="B2" s="129"/>
      <c r="C2" s="129"/>
      <c r="D2" s="129"/>
      <c r="E2" s="129"/>
      <c r="F2" s="129"/>
      <c r="G2" s="129"/>
      <c r="H2" s="129"/>
      <c r="I2" s="129"/>
      <c r="J2" s="129" t="s">
        <v>471</v>
      </c>
      <c r="K2" s="129"/>
      <c r="L2" s="129"/>
      <c r="M2" s="129"/>
      <c r="N2" s="129"/>
      <c r="O2" s="129"/>
      <c r="P2" s="129"/>
      <c r="Q2" s="129"/>
      <c r="R2" s="129"/>
    </row>
    <row r="3" spans="1:18" ht="24.75" customHeight="1">
      <c r="A3" s="495"/>
      <c r="B3" s="495"/>
      <c r="C3" s="495"/>
      <c r="D3" s="495"/>
      <c r="E3" s="495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18" ht="24.75" customHeight="1">
      <c r="A4" s="478" t="s">
        <v>64</v>
      </c>
      <c r="B4" s="496"/>
      <c r="C4" s="496"/>
      <c r="D4" s="496"/>
      <c r="E4" s="496"/>
      <c r="F4" s="482">
        <v>2003</v>
      </c>
      <c r="G4" s="487">
        <v>2004</v>
      </c>
      <c r="H4" s="482">
        <v>2005</v>
      </c>
      <c r="I4" s="487">
        <v>2006</v>
      </c>
      <c r="J4" s="482">
        <v>2007</v>
      </c>
      <c r="K4" s="487">
        <v>2008</v>
      </c>
      <c r="L4" s="482">
        <v>2009</v>
      </c>
      <c r="M4" s="487">
        <v>2010</v>
      </c>
      <c r="N4" s="482">
        <v>2011</v>
      </c>
      <c r="O4" s="482">
        <v>2012</v>
      </c>
      <c r="P4" s="191"/>
      <c r="Q4" s="494" t="s">
        <v>499</v>
      </c>
      <c r="R4" s="494"/>
    </row>
    <row r="5" spans="1:18" ht="24.75" customHeight="1">
      <c r="A5" s="497"/>
      <c r="B5" s="497"/>
      <c r="C5" s="497"/>
      <c r="D5" s="497"/>
      <c r="E5" s="497"/>
      <c r="F5" s="481"/>
      <c r="G5" s="488"/>
      <c r="H5" s="481"/>
      <c r="I5" s="488"/>
      <c r="J5" s="481"/>
      <c r="K5" s="488"/>
      <c r="L5" s="481"/>
      <c r="M5" s="488"/>
      <c r="N5" s="481"/>
      <c r="O5" s="481"/>
      <c r="P5" s="232"/>
      <c r="Q5" s="190" t="s">
        <v>65</v>
      </c>
      <c r="R5" s="190" t="s">
        <v>66</v>
      </c>
    </row>
    <row r="6" spans="1:18" ht="24.75" customHeight="1">
      <c r="A6" s="122" t="s">
        <v>145</v>
      </c>
      <c r="B6" s="84"/>
      <c r="C6" s="84"/>
      <c r="D6" s="84"/>
      <c r="E6" s="84"/>
      <c r="F6" s="102"/>
      <c r="G6" s="102"/>
      <c r="H6" s="102"/>
      <c r="I6" s="102"/>
      <c r="J6" s="210"/>
      <c r="K6" s="210"/>
      <c r="L6" s="210"/>
      <c r="M6" s="210"/>
      <c r="P6" s="210"/>
      <c r="Q6" s="102"/>
      <c r="R6" s="210"/>
    </row>
    <row r="7" spans="1:18" ht="24.75" customHeight="1">
      <c r="A7" s="84"/>
      <c r="B7" s="84" t="s">
        <v>263</v>
      </c>
      <c r="C7" s="84"/>
      <c r="D7" s="84"/>
      <c r="E7" s="84"/>
      <c r="F7" s="211"/>
      <c r="G7" s="211"/>
      <c r="H7" s="211"/>
      <c r="I7" s="211"/>
      <c r="J7" s="212"/>
      <c r="K7" s="212"/>
      <c r="L7" s="212"/>
      <c r="M7" s="212"/>
      <c r="P7" s="212"/>
      <c r="Q7" s="211"/>
      <c r="R7" s="212"/>
    </row>
    <row r="8" spans="1:18" ht="24.75" customHeight="1">
      <c r="A8" s="84"/>
      <c r="B8" s="75" t="s">
        <v>612</v>
      </c>
      <c r="C8" s="84"/>
      <c r="D8" s="84"/>
      <c r="E8" s="84"/>
      <c r="F8" s="331">
        <v>606</v>
      </c>
      <c r="G8" s="213">
        <v>614</v>
      </c>
      <c r="H8" s="213">
        <v>623</v>
      </c>
      <c r="I8" s="213">
        <v>633</v>
      </c>
      <c r="J8" s="213">
        <v>643</v>
      </c>
      <c r="K8" s="213">
        <v>653</v>
      </c>
      <c r="L8" s="213">
        <v>664</v>
      </c>
      <c r="M8" s="213">
        <v>675</v>
      </c>
      <c r="N8" s="213">
        <v>705</v>
      </c>
      <c r="O8" s="213">
        <v>716.3316473850902</v>
      </c>
      <c r="P8" s="213"/>
      <c r="Q8" s="213">
        <v>60</v>
      </c>
      <c r="R8" s="213">
        <v>728</v>
      </c>
    </row>
    <row r="9" spans="1:18" ht="24.75" customHeight="1">
      <c r="A9" s="122" t="s">
        <v>264</v>
      </c>
      <c r="B9" s="84"/>
      <c r="C9" s="84"/>
      <c r="D9" s="84"/>
      <c r="E9" s="84"/>
      <c r="F9" s="214"/>
      <c r="G9" s="214"/>
      <c r="H9" s="214"/>
      <c r="I9" s="210"/>
      <c r="J9" s="210"/>
      <c r="K9" s="210"/>
      <c r="L9" s="210"/>
      <c r="M9" s="210"/>
      <c r="N9" s="214"/>
      <c r="O9" s="214"/>
      <c r="P9" s="210"/>
      <c r="Q9" s="214"/>
      <c r="R9" s="214"/>
    </row>
    <row r="10" spans="1:21" s="10" customFormat="1" ht="24.75" customHeight="1">
      <c r="A10" s="84"/>
      <c r="B10" s="84" t="s">
        <v>265</v>
      </c>
      <c r="C10" s="84"/>
      <c r="D10" s="84"/>
      <c r="E10" s="84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93"/>
      <c r="Q10" s="215"/>
      <c r="R10" s="215"/>
      <c r="S10" s="2"/>
      <c r="T10" s="2"/>
      <c r="U10" s="2"/>
    </row>
    <row r="11" spans="1:21" s="10" customFormat="1" ht="24.75" customHeight="1">
      <c r="A11" s="85"/>
      <c r="B11" s="70" t="s">
        <v>41</v>
      </c>
      <c r="C11" s="85"/>
      <c r="D11" s="85"/>
      <c r="E11" s="85"/>
      <c r="F11" s="300">
        <v>21.6</v>
      </c>
      <c r="G11" s="300">
        <v>21.7</v>
      </c>
      <c r="H11" s="300">
        <v>21.11</v>
      </c>
      <c r="I11" s="300">
        <v>20.54</v>
      </c>
      <c r="J11" s="300">
        <v>21.4</v>
      </c>
      <c r="K11" s="300">
        <v>20.6</v>
      </c>
      <c r="L11" s="300">
        <v>19.9</v>
      </c>
      <c r="M11" s="300">
        <v>19.3</v>
      </c>
      <c r="N11" s="300">
        <v>18.5</v>
      </c>
      <c r="O11" s="300">
        <v>18.298592150925543</v>
      </c>
      <c r="P11" s="282"/>
      <c r="Q11" s="300">
        <v>18</v>
      </c>
      <c r="R11" s="300">
        <v>17.7</v>
      </c>
      <c r="S11" s="2"/>
      <c r="T11" s="2"/>
      <c r="U11" s="2"/>
    </row>
    <row r="12" spans="1:21" s="10" customFormat="1" ht="24.75" customHeight="1">
      <c r="A12" s="84"/>
      <c r="B12" s="84" t="s">
        <v>266</v>
      </c>
      <c r="C12" s="84"/>
      <c r="D12" s="84"/>
      <c r="E12" s="84"/>
      <c r="F12" s="281"/>
      <c r="G12" s="281"/>
      <c r="H12" s="281"/>
      <c r="I12" s="301"/>
      <c r="J12" s="301"/>
      <c r="K12" s="301"/>
      <c r="L12" s="301"/>
      <c r="M12" s="301"/>
      <c r="N12" s="281"/>
      <c r="O12" s="281"/>
      <c r="P12" s="301"/>
      <c r="Q12" s="281"/>
      <c r="R12" s="281"/>
      <c r="S12" s="2"/>
      <c r="T12" s="2"/>
      <c r="U12" s="2"/>
    </row>
    <row r="13" spans="1:21" s="10" customFormat="1" ht="24.75" customHeight="1">
      <c r="A13" s="84"/>
      <c r="B13" s="75" t="s">
        <v>41</v>
      </c>
      <c r="C13" s="84"/>
      <c r="D13" s="84"/>
      <c r="E13" s="84"/>
      <c r="F13" s="281">
        <v>3.32</v>
      </c>
      <c r="G13" s="281">
        <v>3.31</v>
      </c>
      <c r="H13" s="281">
        <v>3.39</v>
      </c>
      <c r="I13" s="301">
        <v>3.39</v>
      </c>
      <c r="J13" s="301">
        <v>3.5</v>
      </c>
      <c r="K13" s="301">
        <v>3.6</v>
      </c>
      <c r="L13" s="301">
        <v>3.7</v>
      </c>
      <c r="M13" s="301">
        <v>3.8</v>
      </c>
      <c r="N13" s="281">
        <v>3.7</v>
      </c>
      <c r="O13" s="281">
        <v>3.8409994483588443</v>
      </c>
      <c r="P13" s="301"/>
      <c r="Q13" s="281">
        <v>5.1</v>
      </c>
      <c r="R13" s="281">
        <v>4</v>
      </c>
      <c r="S13" s="2"/>
      <c r="T13" s="2"/>
      <c r="U13" s="2"/>
    </row>
    <row r="14" spans="1:21" s="10" customFormat="1" ht="24.75" customHeight="1">
      <c r="A14" s="84"/>
      <c r="B14" s="84" t="s">
        <v>510</v>
      </c>
      <c r="C14" s="84"/>
      <c r="D14" s="84"/>
      <c r="E14" s="84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2"/>
      <c r="T14" s="2"/>
      <c r="U14" s="2"/>
    </row>
    <row r="15" spans="1:21" s="10" customFormat="1" ht="24.75" customHeight="1">
      <c r="A15" s="85"/>
      <c r="B15" s="70" t="s">
        <v>41</v>
      </c>
      <c r="C15" s="85"/>
      <c r="D15" s="85"/>
      <c r="E15" s="85"/>
      <c r="F15" s="300">
        <v>13.475179708602628</v>
      </c>
      <c r="G15" s="300">
        <v>13.650990346371396</v>
      </c>
      <c r="H15" s="300">
        <v>12.763067191111471</v>
      </c>
      <c r="I15" s="300">
        <v>12.79335211151915</v>
      </c>
      <c r="J15" s="300">
        <v>11.85</v>
      </c>
      <c r="K15" s="300">
        <v>11.8</v>
      </c>
      <c r="L15" s="300">
        <v>11.26</v>
      </c>
      <c r="M15" s="300">
        <v>11.1</v>
      </c>
      <c r="N15" s="300">
        <v>11.3</v>
      </c>
      <c r="O15" s="300">
        <v>11.2</v>
      </c>
      <c r="P15" s="300"/>
      <c r="Q15" s="300">
        <v>13.7</v>
      </c>
      <c r="R15" s="300">
        <v>11.1</v>
      </c>
      <c r="S15" s="2"/>
      <c r="T15" s="2"/>
      <c r="U15" s="2"/>
    </row>
    <row r="16" spans="1:18" s="10" customFormat="1" ht="24.75" customHeight="1">
      <c r="A16" s="122" t="s">
        <v>267</v>
      </c>
      <c r="B16" s="84"/>
      <c r="C16" s="84"/>
      <c r="D16" s="84"/>
      <c r="E16" s="84"/>
      <c r="F16" s="214"/>
      <c r="G16" s="214"/>
      <c r="H16" s="214"/>
      <c r="I16" s="210"/>
      <c r="J16" s="210"/>
      <c r="K16" s="210"/>
      <c r="L16" s="210"/>
      <c r="M16" s="210"/>
      <c r="N16" s="214"/>
      <c r="O16" s="214"/>
      <c r="P16" s="210"/>
      <c r="Q16" s="214"/>
      <c r="R16" s="214"/>
    </row>
    <row r="17" spans="1:19" s="10" customFormat="1" ht="24.75" customHeight="1">
      <c r="A17" s="84"/>
      <c r="B17" s="84" t="s">
        <v>268</v>
      </c>
      <c r="C17" s="84"/>
      <c r="D17" s="84"/>
      <c r="E17" s="84"/>
      <c r="F17" s="87">
        <v>1078</v>
      </c>
      <c r="G17" s="87">
        <v>1081</v>
      </c>
      <c r="H17" s="87">
        <v>1065.6949939135727</v>
      </c>
      <c r="I17" s="87">
        <v>1078</v>
      </c>
      <c r="J17" s="87">
        <v>1007</v>
      </c>
      <c r="K17" s="87">
        <v>985</v>
      </c>
      <c r="L17" s="87">
        <v>904</v>
      </c>
      <c r="M17" s="87">
        <v>841</v>
      </c>
      <c r="N17" s="87">
        <v>885</v>
      </c>
      <c r="O17" s="87">
        <v>763.4128827377002</v>
      </c>
      <c r="P17" s="87"/>
      <c r="Q17" s="87">
        <v>608</v>
      </c>
      <c r="R17" s="87">
        <v>824</v>
      </c>
      <c r="S17" s="2"/>
    </row>
    <row r="18" spans="1:19" s="10" customFormat="1" ht="24.75" customHeight="1">
      <c r="A18" s="85"/>
      <c r="B18" s="85" t="s">
        <v>511</v>
      </c>
      <c r="C18" s="85"/>
      <c r="D18" s="85"/>
      <c r="E18" s="85"/>
      <c r="F18" s="99">
        <v>2111</v>
      </c>
      <c r="G18" s="99">
        <v>2163</v>
      </c>
      <c r="H18" s="99">
        <v>1751</v>
      </c>
      <c r="I18" s="99">
        <v>1656</v>
      </c>
      <c r="J18" s="99">
        <v>1807</v>
      </c>
      <c r="K18" s="99">
        <v>2129</v>
      </c>
      <c r="L18" s="99">
        <v>2136</v>
      </c>
      <c r="M18" s="99">
        <v>2016</v>
      </c>
      <c r="N18" s="99">
        <v>1812</v>
      </c>
      <c r="O18" s="99">
        <v>1838.2201552157042</v>
      </c>
      <c r="P18" s="99"/>
      <c r="Q18" s="99">
        <v>1353</v>
      </c>
      <c r="R18" s="99">
        <v>1965</v>
      </c>
      <c r="S18" s="2"/>
    </row>
    <row r="19" spans="1:19" s="10" customFormat="1" ht="24.75" customHeight="1">
      <c r="A19" s="84"/>
      <c r="B19" s="84" t="s">
        <v>269</v>
      </c>
      <c r="C19" s="84"/>
      <c r="D19" s="84"/>
      <c r="E19" s="84"/>
      <c r="F19" s="87">
        <v>8994</v>
      </c>
      <c r="G19" s="87">
        <v>8630</v>
      </c>
      <c r="H19" s="87">
        <v>8706</v>
      </c>
      <c r="I19" s="87">
        <v>8753</v>
      </c>
      <c r="J19" s="87">
        <v>9132</v>
      </c>
      <c r="K19" s="87">
        <v>8688</v>
      </c>
      <c r="L19" s="87">
        <v>8524</v>
      </c>
      <c r="M19" s="87">
        <v>8497</v>
      </c>
      <c r="N19" s="87">
        <v>8759</v>
      </c>
      <c r="O19" s="87">
        <v>8903.52957435047</v>
      </c>
      <c r="P19" s="87"/>
      <c r="Q19" s="87">
        <v>5301</v>
      </c>
      <c r="R19" s="87">
        <v>9016</v>
      </c>
      <c r="S19" s="2"/>
    </row>
    <row r="20" spans="1:18" s="10" customFormat="1" ht="24.75" customHeight="1">
      <c r="A20" s="122" t="s">
        <v>270</v>
      </c>
      <c r="B20" s="84"/>
      <c r="C20" s="84"/>
      <c r="D20" s="84"/>
      <c r="E20" s="84"/>
      <c r="F20" s="214"/>
      <c r="G20" s="214"/>
      <c r="H20" s="214"/>
      <c r="I20" s="210"/>
      <c r="J20" s="210"/>
      <c r="K20" s="210"/>
      <c r="L20" s="210"/>
      <c r="M20" s="210"/>
      <c r="N20" s="4"/>
      <c r="O20" s="4"/>
      <c r="P20" s="210"/>
      <c r="Q20" s="214"/>
      <c r="R20" s="4"/>
    </row>
    <row r="21" spans="1:17" s="10" customFormat="1" ht="24.75" customHeight="1">
      <c r="A21" s="84"/>
      <c r="B21" s="84" t="s">
        <v>432</v>
      </c>
      <c r="C21" s="84"/>
      <c r="D21" s="84"/>
      <c r="E21" s="84"/>
      <c r="F21" s="216"/>
      <c r="G21" s="216"/>
      <c r="H21" s="216"/>
      <c r="I21" s="93"/>
      <c r="J21" s="93"/>
      <c r="K21" s="93"/>
      <c r="L21" s="93"/>
      <c r="M21" s="93"/>
      <c r="P21" s="210"/>
      <c r="Q21" s="216"/>
    </row>
    <row r="22" spans="1:18" s="10" customFormat="1" ht="24.75" customHeight="1">
      <c r="A22" s="141"/>
      <c r="B22" s="141" t="s">
        <v>433</v>
      </c>
      <c r="C22" s="141"/>
      <c r="D22" s="141"/>
      <c r="E22" s="141"/>
      <c r="F22" s="282">
        <f>'C1 (Pág. 9)'!F57/'C1 (Pág. 9)'!F56</f>
        <v>1480.4144329896908</v>
      </c>
      <c r="G22" s="282">
        <f>'C1 (Pág. 9)'!G57/'C1 (Pág. 9)'!G56</f>
        <v>1845.8629961587708</v>
      </c>
      <c r="H22" s="282">
        <f>'C1 (Pág. 9)'!H57/'C1 (Pág. 9)'!H56</f>
        <v>1622.7373626373626</v>
      </c>
      <c r="I22" s="282">
        <f>'C1 (Pág. 9)'!I57/'C1 (Pág. 9)'!I56</f>
        <v>2052.75127420999</v>
      </c>
      <c r="J22" s="282">
        <f>'C1 (Pág. 9)'!J57/'C1 (Pág. 9)'!J56</f>
        <v>1952.1412935323383</v>
      </c>
      <c r="K22" s="282">
        <f>'C1 (Pág. 9)'!K57/'C1 (Pág. 9)'!K56</f>
        <v>1818.209971236817</v>
      </c>
      <c r="L22" s="282">
        <f>'C1 (Pág. 9)'!L57/'C1 (Pág. 9)'!L56</f>
        <v>1648.4936278674597</v>
      </c>
      <c r="M22" s="282">
        <f>'C1 (Pág. 9)'!M57/'C1 (Pág. 9)'!M56</f>
        <v>1745.4633027522937</v>
      </c>
      <c r="N22" s="282">
        <f>'C1 (Pág. 9)'!N57/'C1 (Pág. 9)'!N56</f>
        <v>1504.0244498777506</v>
      </c>
      <c r="O22" s="282">
        <f>'C1 (Pág. 9)'!O57/'C1 (Pág. 9)'!O56</f>
        <v>1609.0610820244328</v>
      </c>
      <c r="P22" s="282"/>
      <c r="Q22" s="282">
        <f>'C1 (Pág. 9)'!Q57/'C1 (Pág. 9)'!Q56</f>
        <v>585.3222902412675</v>
      </c>
      <c r="R22" s="282">
        <f>'C1 (Pág. 9)'!R57/'C1 (Pág. 9)'!R56</f>
        <v>1452.2505782575174</v>
      </c>
    </row>
    <row r="23" spans="1:18" s="10" customFormat="1" ht="24.75" customHeight="1">
      <c r="A23" s="122" t="s">
        <v>271</v>
      </c>
      <c r="B23" s="84"/>
      <c r="C23" s="84"/>
      <c r="D23" s="84"/>
      <c r="E23" s="84"/>
      <c r="F23" s="82"/>
      <c r="G23" s="82"/>
      <c r="H23" s="82"/>
      <c r="I23" s="82"/>
      <c r="J23" s="82"/>
      <c r="K23" s="82"/>
      <c r="L23" s="82"/>
      <c r="M23" s="82"/>
      <c r="N23" s="4"/>
      <c r="O23" s="4"/>
      <c r="P23" s="82"/>
      <c r="Q23" s="82"/>
      <c r="R23" s="4"/>
    </row>
    <row r="24" spans="1:18" s="10" customFormat="1" ht="24.75" customHeight="1">
      <c r="A24" s="84"/>
      <c r="B24" s="84" t="s">
        <v>272</v>
      </c>
      <c r="C24" s="84"/>
      <c r="D24" s="84"/>
      <c r="E24" s="84"/>
      <c r="F24" s="217">
        <v>24.93963130191833</v>
      </c>
      <c r="G24" s="217">
        <v>24.730837065273047</v>
      </c>
      <c r="H24" s="217">
        <v>24.414114861956588</v>
      </c>
      <c r="I24" s="217">
        <v>24.25888693983418</v>
      </c>
      <c r="J24" s="217">
        <v>24</v>
      </c>
      <c r="K24" s="217">
        <v>24</v>
      </c>
      <c r="L24" s="217">
        <v>24</v>
      </c>
      <c r="M24" s="217">
        <v>24</v>
      </c>
      <c r="N24" s="217">
        <v>19</v>
      </c>
      <c r="O24" s="217">
        <v>19.199100059911025</v>
      </c>
      <c r="P24" s="217"/>
      <c r="Q24" s="217">
        <v>22</v>
      </c>
      <c r="R24" s="217">
        <v>19</v>
      </c>
    </row>
    <row r="25" spans="1:18" s="10" customFormat="1" ht="24.75" customHeight="1">
      <c r="A25" s="122" t="s">
        <v>273</v>
      </c>
      <c r="B25" s="84"/>
      <c r="C25" s="84"/>
      <c r="D25" s="84"/>
      <c r="E25" s="84"/>
      <c r="F25" s="214"/>
      <c r="G25" s="214"/>
      <c r="H25" s="214"/>
      <c r="I25" s="210"/>
      <c r="J25" s="210"/>
      <c r="K25" s="210"/>
      <c r="L25" s="210"/>
      <c r="M25" s="210"/>
      <c r="N25" s="4"/>
      <c r="O25" s="4"/>
      <c r="P25" s="210"/>
      <c r="Q25" s="214"/>
      <c r="R25" s="4"/>
    </row>
    <row r="26" spans="1:19" s="10" customFormat="1" ht="24.75" customHeight="1">
      <c r="A26" s="149"/>
      <c r="B26" s="466" t="s">
        <v>274</v>
      </c>
      <c r="C26" s="466"/>
      <c r="D26" s="466"/>
      <c r="E26" s="466"/>
      <c r="F26" s="218"/>
      <c r="G26" s="218"/>
      <c r="H26" s="218"/>
      <c r="I26" s="218"/>
      <c r="J26" s="218"/>
      <c r="K26" s="218"/>
      <c r="L26" s="218"/>
      <c r="M26" s="218"/>
      <c r="N26" s="4"/>
      <c r="O26" s="4"/>
      <c r="P26" s="218"/>
      <c r="Q26" s="218"/>
      <c r="R26" s="4"/>
      <c r="S26" s="2"/>
    </row>
    <row r="27" spans="1:19" s="10" customFormat="1" ht="24.75" customHeight="1">
      <c r="A27" s="177"/>
      <c r="B27" s="204" t="s">
        <v>34</v>
      </c>
      <c r="C27" s="176"/>
      <c r="D27" s="176"/>
      <c r="E27" s="176"/>
      <c r="F27" s="219">
        <f>('C1 (Pág. 10)'!F58/'C1 (Pág. 10)'!F57)*100</f>
        <v>23.740570702076564</v>
      </c>
      <c r="G27" s="219">
        <f>('C1 (Pág. 10)'!G58/'C1 (Pág. 10)'!G57)*100</f>
        <v>24.02976089248665</v>
      </c>
      <c r="H27" s="219">
        <f>('C1 (Pág. 10)'!H58/'C1 (Pág. 10)'!H57)*100</f>
        <v>25.74237900821518</v>
      </c>
      <c r="I27" s="219">
        <f>('C1 (Pág. 10)'!I58/'C1 (Pág. 10)'!I57)*100</f>
        <v>26.560535597971292</v>
      </c>
      <c r="J27" s="219">
        <f>('C1 (Pág. 10)'!J58/'C1 (Pág. 10)'!J57)*100</f>
        <v>29.163214704567014</v>
      </c>
      <c r="K27" s="219">
        <f>('C1 (Pág. 10)'!K58/'C1 (Pág. 10)'!K57)*100</f>
        <v>18.715838247382035</v>
      </c>
      <c r="L27" s="219">
        <f>('C1 (Pág. 10)'!L58/'C1 (Pág. 10)'!L57)*100</f>
        <v>26.700218615537924</v>
      </c>
      <c r="M27" s="219">
        <f>('C1 (Pág. 10)'!M58/'C1 (Pág. 10)'!M57)*100</f>
        <v>28.878476214460232</v>
      </c>
      <c r="N27" s="219">
        <f>('C1 (Pág. 10)'!N58/'C1 (Pág. 10)'!N57)*100</f>
        <v>27.52712352511833</v>
      </c>
      <c r="O27" s="219">
        <f>('C1 (Pág. 10)'!O58/'C1 (Pág. 10)'!O57)*100</f>
        <v>28.047838578205386</v>
      </c>
      <c r="P27" s="219"/>
      <c r="Q27" s="219">
        <f>('C1 (Pág. 10)'!Q58/'C1 (Pág. 10)'!Q57)*100</f>
        <v>44.695475249120165</v>
      </c>
      <c r="R27" s="219">
        <f>('C1 (Pág. 10)'!R58/'C1 (Pág. 10)'!R57)*100</f>
        <v>28.138642899843113</v>
      </c>
      <c r="S27" s="2"/>
    </row>
    <row r="28" spans="1:19" s="10" customFormat="1" ht="24.75" customHeight="1">
      <c r="A28" s="84"/>
      <c r="B28" s="84" t="s">
        <v>275</v>
      </c>
      <c r="C28" s="84"/>
      <c r="D28" s="84"/>
      <c r="E28" s="84"/>
      <c r="F28" s="93"/>
      <c r="G28" s="93"/>
      <c r="H28" s="93"/>
      <c r="I28" s="218"/>
      <c r="J28" s="218"/>
      <c r="K28" s="218"/>
      <c r="L28" s="218"/>
      <c r="M28" s="218"/>
      <c r="N28" s="4"/>
      <c r="O28" s="4"/>
      <c r="P28" s="93"/>
      <c r="Q28" s="93"/>
      <c r="R28" s="4"/>
      <c r="S28" s="2"/>
    </row>
    <row r="29" spans="1:18" s="10" customFormat="1" ht="24.75" customHeight="1">
      <c r="A29" s="84"/>
      <c r="B29" s="206" t="s">
        <v>34</v>
      </c>
      <c r="C29" s="84"/>
      <c r="D29" s="84"/>
      <c r="E29" s="84"/>
      <c r="F29" s="220">
        <v>4.7</v>
      </c>
      <c r="G29" s="220">
        <v>5.29</v>
      </c>
      <c r="H29" s="220">
        <v>4.19</v>
      </c>
      <c r="I29" s="218">
        <v>5.12</v>
      </c>
      <c r="J29" s="218">
        <v>5.02</v>
      </c>
      <c r="K29" s="218">
        <v>5.13</v>
      </c>
      <c r="L29" s="218">
        <v>6.77</v>
      </c>
      <c r="M29" s="218">
        <v>6.71902</v>
      </c>
      <c r="N29" s="218">
        <v>5.87518</v>
      </c>
      <c r="O29" s="218">
        <v>5.74881582</v>
      </c>
      <c r="P29" s="210"/>
      <c r="Q29" s="93">
        <v>4.6</v>
      </c>
      <c r="R29" s="218">
        <v>5</v>
      </c>
    </row>
    <row r="30" spans="1:18" s="10" customFormat="1" ht="24.75" customHeight="1">
      <c r="A30" s="122" t="s">
        <v>67</v>
      </c>
      <c r="B30" s="84"/>
      <c r="C30" s="84"/>
      <c r="D30" s="84"/>
      <c r="E30" s="84"/>
      <c r="F30" s="214"/>
      <c r="G30" s="214"/>
      <c r="H30" s="214"/>
      <c r="I30" s="210"/>
      <c r="J30" s="210"/>
      <c r="K30" s="210"/>
      <c r="L30" s="210"/>
      <c r="M30" s="210"/>
      <c r="N30" s="4"/>
      <c r="O30" s="4"/>
      <c r="P30" s="210"/>
      <c r="Q30" s="214"/>
      <c r="R30" s="4"/>
    </row>
    <row r="31" spans="1:18" s="10" customFormat="1" ht="24.75" customHeight="1">
      <c r="A31" s="84"/>
      <c r="B31" s="84" t="s">
        <v>301</v>
      </c>
      <c r="C31" s="84"/>
      <c r="D31" s="84"/>
      <c r="E31" s="84"/>
      <c r="F31" s="221"/>
      <c r="G31" s="221"/>
      <c r="H31" s="221"/>
      <c r="I31" s="221"/>
      <c r="J31" s="221"/>
      <c r="K31" s="221"/>
      <c r="L31" s="221"/>
      <c r="M31" s="221"/>
      <c r="N31" s="4"/>
      <c r="O31" s="4"/>
      <c r="P31" s="221"/>
      <c r="Q31" s="221"/>
      <c r="R31" s="4"/>
    </row>
    <row r="32" spans="1:20" s="10" customFormat="1" ht="24.75" customHeight="1">
      <c r="A32" s="85"/>
      <c r="B32" s="85" t="s">
        <v>379</v>
      </c>
      <c r="C32" s="85"/>
      <c r="D32" s="85"/>
      <c r="E32" s="85"/>
      <c r="F32" s="282">
        <f>('C2 (Pág. 12)'!F8*1000000)/('C1 (Pág. 9)'!F$8)</f>
        <v>51912.46888278392</v>
      </c>
      <c r="G32" s="282">
        <f>('C2 (Pág. 12)'!G8*1000000)/('C1 (Pág. 9)'!G$8)</f>
        <v>56356.58106752293</v>
      </c>
      <c r="H32" s="282">
        <f>('C2 (Pág. 12)'!H8*1000000)/('C1 (Pág. 9)'!H$8)</f>
        <v>60697.60724526405</v>
      </c>
      <c r="I32" s="282">
        <f>('C2 (Pág. 12)'!I8*1000000)/('C1 (Pág. 9)'!I$8)</f>
        <v>65528.7480633611</v>
      </c>
      <c r="J32" s="282">
        <f>('C2 (Pág. 12)'!J8*1000000)/('C1 (Pág. 9)'!J$8)</f>
        <v>70266.42985118594</v>
      </c>
      <c r="K32" s="282">
        <f>('C2 (Pág. 12)'!K8*1000000)/('C1 (Pág. 9)'!K$8)</f>
        <v>73803.53489118378</v>
      </c>
      <c r="L32" s="282">
        <f>('C2 (Pág. 12)'!L8*1000000)/('C1 (Pág. 9)'!L$8)</f>
        <v>74594.81940698247</v>
      </c>
      <c r="M32" s="282">
        <f>('C2 (Pág. 12)'!M8*1000000)/('C1 (Pág. 9)'!M$8)</f>
        <v>81703.2475651136</v>
      </c>
      <c r="N32" s="282">
        <f>('C2 (Pág. 12)'!N8*1000000)/('C1 (Pág. 9)'!N$8)</f>
        <v>84156.95742617584</v>
      </c>
      <c r="O32" s="282">
        <f>('C2 (Pág. 12)'!O8*1000000)/('C1 (Pág. 9)'!O$8)</f>
        <v>88689.80537963436</v>
      </c>
      <c r="P32" s="282"/>
      <c r="Q32" s="282">
        <f>('C2 (Pág. 12)'!Q8*1000000)/('C1 (Pág. 9)'!Q$8)</f>
        <v>135790.63615275687</v>
      </c>
      <c r="R32" s="282">
        <f>('C2 (Pág. 12)'!R8*1000000)/('C1 (Pág. 9)'!R$8)</f>
        <v>90069.76418864794</v>
      </c>
      <c r="T32" s="10">
        <f>+R32/Q32</f>
        <v>0.6632987865770398</v>
      </c>
    </row>
    <row r="33" spans="1:18" s="10" customFormat="1" ht="24.75" customHeight="1">
      <c r="A33" s="84"/>
      <c r="B33" s="84" t="s">
        <v>276</v>
      </c>
      <c r="C33" s="84"/>
      <c r="D33" s="84"/>
      <c r="E33" s="84"/>
      <c r="F33" s="281"/>
      <c r="G33" s="281"/>
      <c r="H33" s="281"/>
      <c r="I33" s="281"/>
      <c r="J33" s="281"/>
      <c r="K33" s="281"/>
      <c r="L33" s="281"/>
      <c r="M33" s="281"/>
      <c r="N33" s="289"/>
      <c r="O33" s="289"/>
      <c r="P33" s="302"/>
      <c r="Q33" s="281"/>
      <c r="R33" s="289"/>
    </row>
    <row r="34" spans="1:18" s="10" customFormat="1" ht="24.75" customHeight="1">
      <c r="A34" s="84"/>
      <c r="B34" s="84" t="s">
        <v>379</v>
      </c>
      <c r="C34" s="84"/>
      <c r="D34" s="84"/>
      <c r="E34" s="84"/>
      <c r="F34" s="281">
        <f>('C3 (Pág. 15)'!F8*1000000)/'C1 (Pág. 9)'!F$8</f>
        <v>65666.3340892466</v>
      </c>
      <c r="G34" s="281">
        <f>('C3 (Pág. 15)'!G8*1000000)/'C1 (Pág. 9)'!G$8</f>
        <v>67252.95283411823</v>
      </c>
      <c r="H34" s="281">
        <f>('C3 (Pág. 15)'!H8*1000000)/'C1 (Pág. 9)'!H$8</f>
        <v>69304.65367484716</v>
      </c>
      <c r="I34" s="281">
        <f>('C3 (Pág. 15)'!I8*1000000)/'C1 (Pág. 9)'!I$8</f>
        <v>71818.08778385777</v>
      </c>
      <c r="J34" s="281">
        <f>('C3 (Pág. 15)'!J8*1000000)/'C1 (Pág. 9)'!J$8</f>
        <v>73774.46574883959</v>
      </c>
      <c r="K34" s="281">
        <f>('C3 (Pág. 15)'!K8*1000000)/'C1 (Pág. 9)'!K$8</f>
        <v>73803.53497963084</v>
      </c>
      <c r="L34" s="281">
        <f>('C3 (Pág. 15)'!L8*1000000)/'C1 (Pág. 9)'!L$8</f>
        <v>69883.92045537653</v>
      </c>
      <c r="M34" s="281">
        <f>('C3 (Pág. 15)'!M8*1000000)/'C1 (Pág. 9)'!M$8</f>
        <v>74028.57652776975</v>
      </c>
      <c r="N34" s="281">
        <f>('C3 (Pág. 15)'!N8*1000000)/'C1 (Pág. 9)'!N$8</f>
        <v>73541.29585229726</v>
      </c>
      <c r="O34" s="281">
        <f>('C3 (Pág. 15)'!O8*1000000)/'C1 (Pág. 9)'!O$8</f>
        <v>74836.82031842618</v>
      </c>
      <c r="P34" s="281"/>
      <c r="Q34" s="281">
        <f>+'PIB NACIONAL 2008'!L9*1000000/'C1 (Pág. 9)'!Q8</f>
        <v>113404.59568733336</v>
      </c>
      <c r="R34" s="281">
        <f>('C3 (Pág. 15)'!P8*1000000)/'C1 (Pág. 9)'!R$8</f>
        <v>74660.8234634377</v>
      </c>
    </row>
    <row r="35" spans="1:18" s="10" customFormat="1" ht="24.75" customHeight="1">
      <c r="A35" s="122" t="s">
        <v>127</v>
      </c>
      <c r="B35" s="84"/>
      <c r="C35" s="84"/>
      <c r="D35" s="84"/>
      <c r="E35" s="84"/>
      <c r="F35" s="281"/>
      <c r="G35" s="281"/>
      <c r="H35" s="281"/>
      <c r="I35" s="281"/>
      <c r="J35" s="281"/>
      <c r="K35" s="281"/>
      <c r="L35" s="281"/>
      <c r="M35" s="281"/>
      <c r="N35" s="289"/>
      <c r="O35" s="289"/>
      <c r="P35" s="281"/>
      <c r="Q35" s="281"/>
      <c r="R35" s="289"/>
    </row>
    <row r="36" spans="1:18" s="10" customFormat="1" ht="24.75" customHeight="1">
      <c r="A36" s="149"/>
      <c r="B36" s="466" t="s">
        <v>277</v>
      </c>
      <c r="C36" s="466"/>
      <c r="D36" s="466"/>
      <c r="E36" s="466"/>
      <c r="F36" s="281"/>
      <c r="G36" s="281"/>
      <c r="H36" s="281"/>
      <c r="I36" s="281"/>
      <c r="J36" s="281"/>
      <c r="K36" s="281"/>
      <c r="L36" s="281"/>
      <c r="M36" s="281"/>
      <c r="N36" s="289"/>
      <c r="O36" s="289"/>
      <c r="P36" s="302"/>
      <c r="Q36" s="281"/>
      <c r="R36" s="289"/>
    </row>
    <row r="37" spans="1:18" s="10" customFormat="1" ht="24.75" customHeight="1">
      <c r="A37" s="177"/>
      <c r="B37" s="204" t="s">
        <v>381</v>
      </c>
      <c r="C37" s="176"/>
      <c r="D37" s="176"/>
      <c r="E37" s="176"/>
      <c r="F37" s="282">
        <v>4.109906036615318</v>
      </c>
      <c r="G37" s="282">
        <v>4.67772066324017</v>
      </c>
      <c r="H37" s="282">
        <v>3.8038265261275184</v>
      </c>
      <c r="I37" s="282">
        <v>2.972693979068941</v>
      </c>
      <c r="J37" s="282">
        <v>3.908158245479476</v>
      </c>
      <c r="K37" s="282">
        <v>4.6709556129156615</v>
      </c>
      <c r="L37" s="282">
        <v>4.8725536151829285</v>
      </c>
      <c r="M37" s="282">
        <v>4.554453211098974</v>
      </c>
      <c r="N37" s="282">
        <v>3.9061334781915535</v>
      </c>
      <c r="O37" s="282">
        <v>4.214802214618341</v>
      </c>
      <c r="P37" s="303"/>
      <c r="Q37" s="282">
        <v>3.97</v>
      </c>
      <c r="R37" s="282">
        <v>3.71525385</v>
      </c>
    </row>
    <row r="38" spans="1:18" s="10" customFormat="1" ht="24.75" customHeight="1">
      <c r="A38" s="122" t="s">
        <v>74</v>
      </c>
      <c r="B38" s="84"/>
      <c r="C38" s="84"/>
      <c r="D38" s="84"/>
      <c r="E38" s="84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</row>
    <row r="39" spans="1:18" s="10" customFormat="1" ht="24.75" customHeight="1">
      <c r="A39" s="84"/>
      <c r="B39" s="84" t="s">
        <v>278</v>
      </c>
      <c r="C39" s="84"/>
      <c r="D39" s="84"/>
      <c r="E39" s="84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302"/>
      <c r="Q39" s="281"/>
      <c r="R39" s="281"/>
    </row>
    <row r="40" spans="1:18" s="10" customFormat="1" ht="24.75" customHeight="1">
      <c r="A40" s="84"/>
      <c r="B40" s="84" t="s">
        <v>379</v>
      </c>
      <c r="C40" s="84"/>
      <c r="D40" s="84"/>
      <c r="E40" s="84"/>
      <c r="F40" s="281">
        <f>('C2 (Pág. 12)'!F19*1000)/('C1 (Pág. 9)'!F$8)</f>
        <v>824.5061650257114</v>
      </c>
      <c r="G40" s="281">
        <f>('C2 (Pág. 12)'!G19*1000)/('C1 (Pág. 9)'!G$8)</f>
        <v>1017.8323010375229</v>
      </c>
      <c r="H40" s="281">
        <f>('C2 (Pág. 12)'!H19*1000)/('C1 (Pág. 9)'!H$8)</f>
        <v>1079.5001461717459</v>
      </c>
      <c r="I40" s="281">
        <f>('C2 (Pág. 12)'!I19*1000)/('C1 (Pág. 9)'!I$8)</f>
        <v>1170.4607725995509</v>
      </c>
      <c r="J40" s="281">
        <f>('C2 (Pág. 12)'!J19*1000)/('C1 (Pág. 9)'!J$8)</f>
        <v>1167.3480926423929</v>
      </c>
      <c r="K40" s="281">
        <f>('C2 (Pág. 12)'!K19*1000)/('C1 (Pág. 9)'!K$8)</f>
        <v>1512.8041681978093</v>
      </c>
      <c r="L40" s="281">
        <f>('C2 (Pág. 12)'!L19*1000)/('C1 (Pág. 9)'!L$8)</f>
        <v>1549.322037085731</v>
      </c>
      <c r="M40" s="281">
        <f>('C2 (Pág. 12)'!M19*1000)/('C1 (Pág. 9)'!M$8)</f>
        <v>1422.3409253457892</v>
      </c>
      <c r="N40" s="281">
        <f>('C2 (Pág. 12)'!N19*1000)/('C1 (Pág. 9)'!N$8)</f>
        <v>1383.3045008575905</v>
      </c>
      <c r="O40" s="281">
        <f>('C2 (Pág. 12)'!O19*1000)/('C1 (Pág. 9)'!O$8)</f>
        <v>1575.494951257211</v>
      </c>
      <c r="P40" s="281"/>
      <c r="Q40" s="281">
        <f>('C2 (Pág. 12)'!Q19*1000)/('C1 (Pág. 9)'!Q$8)</f>
        <v>6328.011639742991</v>
      </c>
      <c r="R40" s="281">
        <f>('C2 (Pág. 12)'!R19*1000)/('C1 (Pág. 9)'!R$8)</f>
        <v>2083.4793369188</v>
      </c>
    </row>
    <row r="41" spans="1:18" s="10" customFormat="1" ht="24.75" customHeight="1">
      <c r="A41" s="84"/>
      <c r="B41" s="84" t="s">
        <v>279</v>
      </c>
      <c r="C41" s="84"/>
      <c r="D41" s="84"/>
      <c r="E41" s="84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</row>
    <row r="42" spans="1:18" s="10" customFormat="1" ht="24.75" customHeight="1">
      <c r="A42" s="85"/>
      <c r="B42" s="85" t="s">
        <v>379</v>
      </c>
      <c r="C42" s="85"/>
      <c r="D42" s="85"/>
      <c r="E42" s="85"/>
      <c r="F42" s="282">
        <f>('C2 (Pág. 12)'!F21*1000)/('C1 (Pág. 9)'!F$8)</f>
        <v>704.8497896859901</v>
      </c>
      <c r="G42" s="282">
        <f>('C2 (Pág. 12)'!G21*1000)/('C1 (Pág. 9)'!G$8)</f>
        <v>665.2607346875479</v>
      </c>
      <c r="H42" s="282">
        <f>('C2 (Pág. 12)'!H21*1000)/('C1 (Pág. 9)'!H$8)</f>
        <v>827.8423465630365</v>
      </c>
      <c r="I42" s="282">
        <f>('C2 (Pág. 12)'!I21*1000)/('C1 (Pág. 9)'!I$8)</f>
        <v>1014.5211782186685</v>
      </c>
      <c r="J42" s="282">
        <f>('C2 (Pág. 12)'!J21*1000)/('C1 (Pág. 9)'!J$8)</f>
        <v>1335.226151202894</v>
      </c>
      <c r="K42" s="282">
        <f>('C2 (Pág. 12)'!K21*1000)/('C1 (Pág. 9)'!K$8)</f>
        <v>2142.7606226733287</v>
      </c>
      <c r="L42" s="282">
        <f>('C2 (Pág. 12)'!L21*1000)/('C1 (Pág. 9)'!L$8)</f>
        <v>1996.567905455486</v>
      </c>
      <c r="M42" s="282">
        <f>('C2 (Pág. 12)'!M21*1000)/('C1 (Pág. 9)'!M$8)</f>
        <v>2193.132934268907</v>
      </c>
      <c r="N42" s="282">
        <f>('C2 (Pág. 12)'!N21*1000)/('C1 (Pág. 9)'!N$8)</f>
        <v>2127.507080345798</v>
      </c>
      <c r="O42" s="282">
        <f>('C2 (Pág. 12)'!O21*1000)/('C1 (Pág. 9)'!O$8)</f>
        <v>2129.519101746284</v>
      </c>
      <c r="P42" s="282"/>
      <c r="Q42" s="282" t="s">
        <v>55</v>
      </c>
      <c r="R42" s="282">
        <f>('C2 (Pág. 12)'!R21*1000)/('C1 (Pág. 9)'!R$8)</f>
        <v>2212.9593207982543</v>
      </c>
    </row>
    <row r="43" spans="1:18" s="10" customFormat="1" ht="24.75" customHeight="1">
      <c r="A43" s="84"/>
      <c r="B43" s="84" t="s">
        <v>280</v>
      </c>
      <c r="C43" s="84"/>
      <c r="D43" s="84"/>
      <c r="E43" s="84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</row>
    <row r="44" spans="1:18" s="10" customFormat="1" ht="24.75" customHeight="1">
      <c r="A44" s="84"/>
      <c r="B44" s="84" t="s">
        <v>379</v>
      </c>
      <c r="C44" s="84"/>
      <c r="D44" s="84"/>
      <c r="E44" s="84"/>
      <c r="F44" s="281">
        <f>('C2 (Pág. 12)'!F49*1000)/('C1 (Pág. 9)'!F$8)</f>
        <v>1208.7419182094836</v>
      </c>
      <c r="G44" s="281">
        <f>('C2 (Pág. 12)'!G49*1000)/('C1 (Pág. 9)'!G$8)</f>
        <v>1388.0362591627993</v>
      </c>
      <c r="H44" s="281">
        <f>('C2 (Pág. 12)'!H49*1000)/('C1 (Pág. 9)'!H$8)</f>
        <v>1523.9362512547739</v>
      </c>
      <c r="I44" s="281">
        <f>('C2 (Pág. 12)'!I49*1000)/('C1 (Pág. 9)'!I$8)</f>
        <v>1735.675633758411</v>
      </c>
      <c r="J44" s="281">
        <f>('C2 (Pág. 12)'!J49*1000)/('C1 (Pág. 9)'!J$8)</f>
        <v>1977.0843939450256</v>
      </c>
      <c r="K44" s="281">
        <f>('C2 (Pág. 12)'!K49*1000)/('C1 (Pág. 9)'!K$8)</f>
        <v>2353.55036174624</v>
      </c>
      <c r="L44" s="281">
        <f>('C2 (Pág. 12)'!L49*1000)/('C1 (Pág. 9)'!L$8)</f>
        <v>2432.636172239556</v>
      </c>
      <c r="M44" s="281">
        <f>('C2 (Pág. 12)'!M49*1000)/('C1 (Pág. 9)'!M$8)</f>
        <v>2603.755677487052</v>
      </c>
      <c r="N44" s="281">
        <f>('C2 (Pág. 12)'!N49*1000)/('C1 (Pág. 9)'!N$8)</f>
        <v>2795.867536278306</v>
      </c>
      <c r="O44" s="281">
        <f>('C2 (Pág. 12)'!O49*1000)/('C1 (Pág. 9)'!O$8)</f>
        <v>3080.219284344162</v>
      </c>
      <c r="P44" s="281"/>
      <c r="Q44" s="281">
        <f>('C2 (Pág. 12)'!Q49*1000)/('C1 (Pág. 9)'!Q$8)</f>
        <v>8522.751811971808</v>
      </c>
      <c r="R44" s="281">
        <f>('C2 (Pág. 12)'!R49*1000)/('C1 (Pág. 9)'!R$8)</f>
        <v>2724.9345975149427</v>
      </c>
    </row>
    <row r="45" spans="1:18" s="10" customFormat="1" ht="24.75" customHeight="1">
      <c r="A45" s="84"/>
      <c r="B45" s="84" t="s">
        <v>281</v>
      </c>
      <c r="C45" s="84"/>
      <c r="D45" s="84"/>
      <c r="E45" s="84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302"/>
      <c r="Q45" s="281"/>
      <c r="R45" s="281"/>
    </row>
    <row r="46" spans="1:18" s="10" customFormat="1" ht="24.75" customHeight="1">
      <c r="A46" s="85"/>
      <c r="B46" s="85" t="s">
        <v>379</v>
      </c>
      <c r="C46" s="85"/>
      <c r="D46" s="85"/>
      <c r="E46" s="85"/>
      <c r="F46" s="282">
        <f>('C2 (Pág. 12)'!F51*1000)/('C1 (Pág. 9)'!F$8)</f>
        <v>1218.2562883658059</v>
      </c>
      <c r="G46" s="282">
        <f>('C2 (Pág. 12)'!G51*1000)/('C1 (Pág. 9)'!G$8)</f>
        <v>1411.3962247419286</v>
      </c>
      <c r="H46" s="282">
        <f>('C2 (Pág. 12)'!H51*1000)/('C1 (Pág. 9)'!H$8)</f>
        <v>1559.9555053196166</v>
      </c>
      <c r="I46" s="282">
        <f>('C2 (Pág. 12)'!I51*1000)/('C1 (Pág. 9)'!I$8)</f>
        <v>1647.0406278670405</v>
      </c>
      <c r="J46" s="282">
        <f>('C2 (Pág. 12)'!J51*1000)/('C1 (Pág. 9)'!J$8)</f>
        <v>1977.0843939450256</v>
      </c>
      <c r="K46" s="282">
        <f>('C2 (Pág. 12)'!K51*1000)/('C1 (Pág. 9)'!K$8)</f>
        <v>2353.55036174624</v>
      </c>
      <c r="L46" s="282">
        <f>('C2 (Pág. 12)'!L51*1000)/('C1 (Pág. 9)'!L$8)</f>
        <v>2381.767873719172</v>
      </c>
      <c r="M46" s="282">
        <f>('C2 (Pág. 12)'!M51*1000)/('C1 (Pág. 9)'!M$8)</f>
        <v>2451.1918300416805</v>
      </c>
      <c r="N46" s="282">
        <f>('C2 (Pág. 12)'!N51*1000)/('C1 (Pág. 9)'!N$8)</f>
        <v>2731.9759947139128</v>
      </c>
      <c r="O46" s="282">
        <f>('C2 (Pág. 12)'!O51*1000)/('C1 (Pág. 9)'!O$8)</f>
        <v>3977.2790525058704</v>
      </c>
      <c r="P46" s="282"/>
      <c r="Q46" s="282">
        <f>('C2 (Pág. 12)'!Q51*1000)/('C1 (Pág. 9)'!Q$8)</f>
        <v>8522.751811971808</v>
      </c>
      <c r="R46" s="282">
        <f>('C2 (Pág. 12)'!R51*1000)/('C1 (Pág. 9)'!R$8)</f>
        <v>2682.590478855991</v>
      </c>
    </row>
    <row r="47" spans="1:18" s="10" customFormat="1" ht="24.75" customHeight="1">
      <c r="A47" s="84"/>
      <c r="B47" s="84" t="s">
        <v>282</v>
      </c>
      <c r="C47" s="84"/>
      <c r="D47" s="84"/>
      <c r="E47" s="84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</row>
    <row r="48" spans="1:18" s="10" customFormat="1" ht="24.75" customHeight="1">
      <c r="A48" s="84"/>
      <c r="B48" s="84" t="s">
        <v>379</v>
      </c>
      <c r="C48" s="84"/>
      <c r="D48" s="84"/>
      <c r="E48" s="84"/>
      <c r="F48" s="281">
        <f>('C2 (Pág. 12)'!F47*1000)/('C1 (Pág. 9)'!F$8)</f>
        <v>2336.5562961865685</v>
      </c>
      <c r="G48" s="281">
        <f>('C2 (Pág. 12)'!G47*1000)/('C1 (Pág. 9)'!G$8)</f>
        <v>2160.865962505207</v>
      </c>
      <c r="H48" s="281">
        <f>('C2 (Pág. 12)'!H47*1000)/('C1 (Pág. 9)'!H$8)</f>
        <v>2133.580493871317</v>
      </c>
      <c r="I48" s="281">
        <f>('C2 (Pág. 12)'!I47*1000)/('C1 (Pág. 9)'!I$8)</f>
        <v>2070.0735993002822</v>
      </c>
      <c r="J48" s="281">
        <f>('C2 (Pág. 12)'!J47*1000)/('C1 (Pág. 9)'!J$8)</f>
        <v>2010.9297289738984</v>
      </c>
      <c r="K48" s="281">
        <f>('C2 (Pág. 12)'!K47*1000)/('C1 (Pág. 9)'!K$8)</f>
        <v>1962.6050964356361</v>
      </c>
      <c r="L48" s="281">
        <f>('C2 (Pág. 12)'!L47*1000)/('C1 (Pág. 9)'!L$8)</f>
        <v>1928.143640801224</v>
      </c>
      <c r="M48" s="281">
        <f>('C2 (Pág. 12)'!M47*1000)/('C1 (Pág. 9)'!M$8)</f>
        <v>1890.9728752146007</v>
      </c>
      <c r="N48" s="281">
        <f>('C2 (Pág. 12)'!N47*1000)/('C1 (Pág. 9)'!N$8)</f>
        <v>1784.1900108535149</v>
      </c>
      <c r="O48" s="281">
        <f>('C2 (Pág. 12)'!O47*1000)/('C1 (Pág. 9)'!O$8)</f>
        <v>2031.8358723209938</v>
      </c>
      <c r="P48" s="281"/>
      <c r="Q48" s="281">
        <f>('C2 (Pág. 12)'!Q47*1000)/('C1 (Pág. 9)'!Q$8)</f>
        <v>52086.88447407609</v>
      </c>
      <c r="R48" s="281">
        <f>('C2 (Pág. 12)'!R47*1000)/('C1 (Pág. 9)'!R$8)</f>
        <v>1992.16781622822</v>
      </c>
    </row>
    <row r="49" spans="1:18" s="10" customFormat="1" ht="24.75" customHeight="1">
      <c r="A49" s="122" t="s">
        <v>283</v>
      </c>
      <c r="B49" s="84"/>
      <c r="C49" s="84"/>
      <c r="D49" s="84"/>
      <c r="E49" s="84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</row>
    <row r="50" spans="1:18" s="10" customFormat="1" ht="24.75" customHeight="1">
      <c r="A50" s="84"/>
      <c r="B50" s="84" t="s">
        <v>284</v>
      </c>
      <c r="C50" s="84"/>
      <c r="D50" s="84"/>
      <c r="E50" s="84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302"/>
      <c r="Q50" s="281"/>
      <c r="R50" s="281"/>
    </row>
    <row r="51" spans="1:18" s="10" customFormat="1" ht="24.75" customHeight="1">
      <c r="A51" s="85"/>
      <c r="B51" s="85" t="s">
        <v>48</v>
      </c>
      <c r="C51" s="85"/>
      <c r="D51" s="85"/>
      <c r="E51" s="85"/>
      <c r="F51" s="282">
        <f>('C2 (Pág. 13)'!F9*1000)/'C2 (Pág. 12)'!F64</f>
        <v>1464.9494688613306</v>
      </c>
      <c r="G51" s="282">
        <f>('C2 (Pág. 13)'!G9*1000)/'C2 (Pág. 12)'!G64</f>
        <v>1477.4537350530277</v>
      </c>
      <c r="H51" s="282">
        <f>('C2 (Pág. 13)'!H9*1000)/'C2 (Pág. 12)'!H64</f>
        <v>1526.2503722466413</v>
      </c>
      <c r="I51" s="282">
        <f>('C2 (Pág. 13)'!I9*1000)/'C2 (Pág. 12)'!I64</f>
        <v>1683.02979436604</v>
      </c>
      <c r="J51" s="282">
        <f>('C2 (Pág. 13)'!J9*1000)/'C2 (Pág. 12)'!J64</f>
        <v>1837.0184251864914</v>
      </c>
      <c r="K51" s="282">
        <f>('C2 (Pág. 13)'!K9*1000)/'C2 (Pág. 12)'!K64</f>
        <v>2128.0633523639</v>
      </c>
      <c r="L51" s="282">
        <f>('C2 (Pág. 13)'!L9*1000)/'C2 (Pág. 12)'!L64</f>
        <v>2122.1798417312084</v>
      </c>
      <c r="M51" s="282">
        <f>('C2 (Pág. 13)'!M9*1000)/'C2 (Pág. 12)'!M64</f>
        <v>2339.40947466812</v>
      </c>
      <c r="N51" s="282">
        <f>('C2 (Pág. 13)'!N9*1000)/'C2 (Pág. 12)'!N64</f>
        <v>2010.1144128570388</v>
      </c>
      <c r="O51" s="282">
        <f>('C2 (Pág. 13)'!O9*1000)/'C2 (Pág. 12)'!O64</f>
        <v>2683.9792754697223</v>
      </c>
      <c r="P51" s="282"/>
      <c r="Q51" s="282">
        <f>('C2 (Pág. 13)'!Q9*1000)/'C2 (Pág. 12)'!Q64</f>
        <v>609.2247787034182</v>
      </c>
      <c r="R51" s="282">
        <f>('C2 (Pág. 13)'!R9*1000)/'C2 (Pág. 12)'!R64</f>
        <v>2789.7446772524895</v>
      </c>
    </row>
    <row r="52" spans="1:18" s="10" customFormat="1" ht="24.75" customHeight="1">
      <c r="A52" s="84"/>
      <c r="B52" s="84" t="s">
        <v>285</v>
      </c>
      <c r="C52" s="84"/>
      <c r="D52" s="84"/>
      <c r="E52" s="84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302"/>
      <c r="Q52" s="281"/>
      <c r="R52" s="281"/>
    </row>
    <row r="53" spans="1:18" s="10" customFormat="1" ht="24.75" customHeight="1">
      <c r="A53" s="84"/>
      <c r="B53" s="84" t="s">
        <v>48</v>
      </c>
      <c r="C53" s="84"/>
      <c r="D53" s="84"/>
      <c r="E53" s="84"/>
      <c r="F53" s="281">
        <f>('C2 (Pág. 13)'!F11*1000)/'C2 (Pág. 13)'!F7</f>
        <v>1542.292638856633</v>
      </c>
      <c r="G53" s="281">
        <f>('C2 (Pág. 13)'!G11*1000)/'C2 (Pág. 13)'!G7</f>
        <v>1630.3845894765502</v>
      </c>
      <c r="H53" s="281">
        <f>('C2 (Pág. 13)'!H11*1000)/'C2 (Pág. 13)'!H7</f>
        <v>1704.5930080519004</v>
      </c>
      <c r="I53" s="281">
        <f>('C2 (Pág. 13)'!I11*1000)/'C2 (Pág. 13)'!I7</f>
        <v>2425.8043538743295</v>
      </c>
      <c r="J53" s="281">
        <f>('C2 (Pág. 13)'!J11*1000)/'C2 (Pág. 13)'!J7</f>
        <v>2653.906080907295</v>
      </c>
      <c r="K53" s="281">
        <f>('C2 (Pág. 13)'!K11*1000)/'C2 (Pág. 13)'!K7</f>
        <v>3078.1540303372317</v>
      </c>
      <c r="L53" s="281">
        <f>('C2 (Pág. 13)'!L11*1000)/'C2 (Pág. 13)'!L7</f>
        <v>3300</v>
      </c>
      <c r="M53" s="281">
        <f>('C2 (Pág. 13)'!M11*1000)/'C2 (Pág. 13)'!M7</f>
        <v>3476.8370925316467</v>
      </c>
      <c r="N53" s="281">
        <f>('C2 (Pág. 13)'!N11*1000)/'C2 (Pág. 13)'!N7</f>
        <v>4822.64184915937</v>
      </c>
      <c r="O53" s="281">
        <f>('C2 (Pág. 13)'!O11*1000)/'C2 (Pág. 13)'!O7</f>
        <v>4395.825183733094</v>
      </c>
      <c r="P53" s="281"/>
      <c r="Q53" s="281">
        <f>('C2 (Pág. 13)'!Q11*1000)/'C2 (Pág. 13)'!Q7</f>
        <v>3365.767829733024</v>
      </c>
      <c r="R53" s="281">
        <f>('C2 (Pág. 13)'!R11*1000)/'C2 (Pág. 13)'!R7</f>
        <v>4134.626423882678</v>
      </c>
    </row>
    <row r="54" spans="1:18" s="10" customFormat="1" ht="24.75" customHeight="1">
      <c r="A54" s="84"/>
      <c r="B54" s="84" t="s">
        <v>286</v>
      </c>
      <c r="C54" s="84"/>
      <c r="D54" s="84"/>
      <c r="E54" s="84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</row>
    <row r="55" spans="1:18" s="10" customFormat="1" ht="24.75" customHeight="1">
      <c r="A55" s="85"/>
      <c r="B55" s="85" t="s">
        <v>378</v>
      </c>
      <c r="C55" s="85"/>
      <c r="D55" s="85"/>
      <c r="E55" s="85"/>
      <c r="F55" s="282">
        <f>'C2 (Pág. 12)'!F64/'C2 (Pág. 12)'!F60</f>
        <v>10.10330943724272</v>
      </c>
      <c r="G55" s="282">
        <f>'C2 (Pág. 12)'!G64/'C2 (Pág. 12)'!G60</f>
        <v>10.492604831408572</v>
      </c>
      <c r="H55" s="282">
        <f>'C2 (Pág. 12)'!H64/'C2 (Pág. 12)'!H60</f>
        <v>10.661775732313329</v>
      </c>
      <c r="I55" s="282">
        <f>'C2 (Pág. 12)'!I64/'C2 (Pág. 12)'!I60</f>
        <v>9.933751337410994</v>
      </c>
      <c r="J55" s="282">
        <f>'C2 (Pág. 12)'!J64/'C2 (Pág. 12)'!J60</f>
        <v>10.120722467882157</v>
      </c>
      <c r="K55" s="282">
        <f>'C2 (Pág. 12)'!K64/'C2 (Pág. 12)'!K60</f>
        <v>9.564322859740829</v>
      </c>
      <c r="L55" s="282">
        <f>'C2 (Pág. 12)'!L64/'C2 (Pág. 12)'!L60</f>
        <v>10.81270642490067</v>
      </c>
      <c r="M55" s="282">
        <f>'C2 (Pág. 12)'!M64/'C2 (Pág. 12)'!M60</f>
        <v>10.804718369086453</v>
      </c>
      <c r="N55" s="282">
        <f>'C2 (Pág. 12)'!N64/'C2 (Pág. 12)'!N60</f>
        <v>13.740180794911508</v>
      </c>
      <c r="O55" s="282">
        <f>'C2 (Pág. 12)'!O64/'C2 (Pág. 12)'!O60</f>
        <v>9.82793171496139</v>
      </c>
      <c r="P55" s="282"/>
      <c r="Q55" s="282">
        <f>'C2 (Pág. 12)'!Q64/'C2 (Pág. 12)'!Q60</f>
        <v>31.345636899719377</v>
      </c>
      <c r="R55" s="282">
        <f>'C2 (Pág. 12)'!R64/'C2 (Pág. 12)'!R60</f>
        <v>9.765326161076374</v>
      </c>
    </row>
    <row r="56" spans="1:18" s="10" customFormat="1" ht="24.75" customHeight="1">
      <c r="A56" s="84"/>
      <c r="B56" s="84" t="s">
        <v>287</v>
      </c>
      <c r="C56" s="84"/>
      <c r="D56" s="84"/>
      <c r="E56" s="84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</row>
    <row r="57" spans="1:18" s="10" customFormat="1" ht="24.75" customHeight="1">
      <c r="A57" s="84"/>
      <c r="B57" s="84" t="s">
        <v>378</v>
      </c>
      <c r="C57" s="84"/>
      <c r="D57" s="84"/>
      <c r="E57" s="84"/>
      <c r="F57" s="281">
        <f>'C2 (Pág. 13)'!F7/'C2 (Pág. 12)'!F62</f>
        <v>3.3569180403173338</v>
      </c>
      <c r="G57" s="281">
        <f>'C2 (Pág. 13)'!G7/'C2 (Pág. 12)'!G62</f>
        <v>3.777461790008894</v>
      </c>
      <c r="H57" s="281">
        <f>'C2 (Pág. 13)'!H7/'C2 (Pág. 12)'!H62</f>
        <v>2.7050248044167606</v>
      </c>
      <c r="I57" s="281">
        <f>'C2 (Pág. 13)'!I7/'C2 (Pág. 12)'!I62</f>
        <v>3.139959794960014</v>
      </c>
      <c r="J57" s="281">
        <f>'C2 (Pág. 13)'!J7/'C2 (Pág. 12)'!J62</f>
        <v>3.487915573228595</v>
      </c>
      <c r="K57" s="281">
        <f>'C2 (Pág. 13)'!K7/'C2 (Pág. 12)'!K62</f>
        <v>3.244238583653962</v>
      </c>
      <c r="L57" s="281">
        <f>'C2 (Pág. 13)'!L7/'C2 (Pág. 12)'!L62</f>
        <v>3.176950790392353</v>
      </c>
      <c r="M57" s="281">
        <f>'C2 (Pág. 13)'!M7/'C2 (Pág. 12)'!M62</f>
        <v>3.598945395503159</v>
      </c>
      <c r="N57" s="281">
        <f>'C2 (Pág. 13)'!N7/'C2 (Pág. 12)'!N62</f>
        <v>2.1823570497436537</v>
      </c>
      <c r="O57" s="281">
        <f>'C2 (Pág. 13)'!O7/'C2 (Pág. 12)'!O62</f>
        <v>3.7199749189205162</v>
      </c>
      <c r="P57" s="281"/>
      <c r="Q57" s="281">
        <f>'C2 (Pág. 13)'!Q7/'C2 (Pág. 12)'!Q62</f>
        <v>3.194072174022937</v>
      </c>
      <c r="R57" s="281">
        <f>'C2 (Pág. 13)'!R7/'C2 (Pág. 12)'!R62</f>
        <v>3.968278158551781</v>
      </c>
    </row>
    <row r="58" spans="1:18" s="10" customFormat="1" ht="24.75" customHeight="1">
      <c r="A58" s="122" t="s">
        <v>110</v>
      </c>
      <c r="B58" s="84"/>
      <c r="C58" s="84"/>
      <c r="D58" s="84"/>
      <c r="E58" s="84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</row>
    <row r="59" spans="1:18" s="10" customFormat="1" ht="24.75" customHeight="1">
      <c r="A59" s="84"/>
      <c r="B59" s="84" t="s">
        <v>288</v>
      </c>
      <c r="C59" s="84"/>
      <c r="D59" s="84"/>
      <c r="E59" s="84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</row>
    <row r="60" spans="1:18" s="10" customFormat="1" ht="24.75" customHeight="1">
      <c r="A60" s="85"/>
      <c r="B60" s="85" t="s">
        <v>1</v>
      </c>
      <c r="C60" s="85"/>
      <c r="D60" s="85"/>
      <c r="E60" s="85"/>
      <c r="F60" s="282">
        <f>'C2 (Pág. 13)'!F47/'C1 (Pág. 9)'!F8</f>
        <v>1.079809745109843</v>
      </c>
      <c r="G60" s="282">
        <f>'C2 (Pág. 13)'!G47/'C1 (Pág. 9)'!G8</f>
        <v>1.083244649514048</v>
      </c>
      <c r="H60" s="282">
        <f>'C2 (Pág. 13)'!H47/'C1 (Pág. 9)'!H8</f>
        <v>1.116887994605745</v>
      </c>
      <c r="I60" s="282">
        <f>'C2 (Pág. 13)'!I47/'C1 (Pág. 9)'!I8</f>
        <v>1.0916736797852538</v>
      </c>
      <c r="J60" s="282">
        <f>'C2 (Pág. 13)'!J47/'C1 (Pág. 9)'!J8</f>
        <v>1.0882299095216377</v>
      </c>
      <c r="K60" s="282">
        <f>'C2 (Pág. 13)'!K47/'C1 (Pág. 9)'!K8</f>
        <v>1.0615677381435176</v>
      </c>
      <c r="L60" s="282">
        <f>'C2 (Pág. 13)'!L47/'C1 (Pág. 9)'!L8</f>
        <v>1.0194796759698328</v>
      </c>
      <c r="M60" s="282">
        <f>'C2 (Pág. 13)'!M47/'C1 (Pág. 9)'!M8</f>
        <v>1.0602069259723106</v>
      </c>
      <c r="N60" s="282">
        <f>'C2 (Pág. 13)'!N47/'C1 (Pág. 9)'!N8</f>
        <v>1.065334070280138</v>
      </c>
      <c r="O60" s="282">
        <f>'C2 (Pág. 13)'!O47/'C1 (Pág. 9)'!O8</f>
        <v>1.0863666790115907</v>
      </c>
      <c r="P60" s="282"/>
      <c r="Q60" s="282">
        <f>'C2 (Pág. 13)'!Q47/'C1 (Pág. 9)'!Q8</f>
        <v>1.741035482867384</v>
      </c>
      <c r="R60" s="282">
        <f>'C2 (Pág. 13)'!R47/'C1 (Pág. 9)'!R8</f>
        <v>1.0808939753278648</v>
      </c>
    </row>
    <row r="61" spans="1:18" s="10" customFormat="1" ht="24.75" customHeight="1">
      <c r="A61" s="122" t="s">
        <v>116</v>
      </c>
      <c r="B61" s="84"/>
      <c r="C61" s="84"/>
      <c r="D61" s="84"/>
      <c r="E61" s="84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</row>
    <row r="62" spans="1:18" s="10" customFormat="1" ht="24.75" customHeight="1">
      <c r="A62" s="84"/>
      <c r="B62" s="466" t="s">
        <v>289</v>
      </c>
      <c r="C62" s="466"/>
      <c r="D62" s="466"/>
      <c r="E62" s="466"/>
      <c r="F62" s="301">
        <v>0.341343511368912</v>
      </c>
      <c r="G62" s="301">
        <v>0.34612613862548497</v>
      </c>
      <c r="H62" s="301">
        <v>0.341419997829919</v>
      </c>
      <c r="I62" s="281">
        <v>0.345588065266075</v>
      </c>
      <c r="J62" s="281">
        <v>0.345588065266075</v>
      </c>
      <c r="K62" s="281">
        <v>0.34725742674642607</v>
      </c>
      <c r="L62" s="281">
        <v>0.3570401340469698</v>
      </c>
      <c r="M62" s="301">
        <f>'C2 (Pág. 13)'!M56/'C6 (Pág. 23)'!M64</f>
        <v>0.6096683420336638</v>
      </c>
      <c r="N62" s="301">
        <f>'C2 (Pág. 13)'!N56/'C6 (Pág. 23)'!N64</f>
        <v>0.5879675286921301</v>
      </c>
      <c r="O62" s="301">
        <f>'C2 (Pág. 13)'!O56/'C6 (Pág. 23)'!O64</f>
        <v>0.5925922921911455</v>
      </c>
      <c r="P62" s="301"/>
      <c r="Q62" s="301">
        <f>'C2 (Pág. 13)'!Q56/'C6 (Pág. 23)'!Q64</f>
        <v>0.19209804567691566</v>
      </c>
      <c r="R62" s="301">
        <f>'C2 (Pág. 13)'!R56/'C6 (Pág. 23)'!R64</f>
        <v>0.7017446973296507</v>
      </c>
    </row>
    <row r="63" spans="1:18" s="10" customFormat="1" ht="24.75" customHeight="1">
      <c r="A63" s="85"/>
      <c r="B63" s="85" t="s">
        <v>290</v>
      </c>
      <c r="C63" s="85"/>
      <c r="D63" s="85"/>
      <c r="E63" s="85"/>
      <c r="F63" s="300">
        <v>96.25020678025795</v>
      </c>
      <c r="G63" s="300">
        <v>108.50498318187236</v>
      </c>
      <c r="H63" s="300">
        <v>117.0126789649781</v>
      </c>
      <c r="I63" s="282">
        <v>117.09636938335903</v>
      </c>
      <c r="J63" s="282">
        <v>109.51229208578579</v>
      </c>
      <c r="K63" s="282">
        <v>109.27656259171705</v>
      </c>
      <c r="L63" s="282">
        <v>97.74142595665886</v>
      </c>
      <c r="M63" s="300">
        <f>'C2 (Pág . 14)'!M10/'C6 (Pág. 23)'!M64</f>
        <v>97.06431397293608</v>
      </c>
      <c r="N63" s="300">
        <f>'C2 (Pág . 14)'!N10/'C6 (Pág. 23)'!N64</f>
        <v>95.61458402263415</v>
      </c>
      <c r="O63" s="300">
        <f>'C2 (Pág . 14)'!O10/'C6 (Pág. 23)'!O64</f>
        <v>94.0903242297904</v>
      </c>
      <c r="P63" s="300"/>
      <c r="Q63" s="300">
        <f>'C2 (Pág . 14)'!Q10/'C6 (Pág. 23)'!Q64</f>
        <v>10.43849281387037</v>
      </c>
      <c r="R63" s="300">
        <f>'C2 (Pág . 14)'!R10/'C6 (Pág. 23)'!R64</f>
        <v>90.85233870019036</v>
      </c>
    </row>
    <row r="64" spans="1:18" s="10" customFormat="1" ht="24.75" customHeight="1">
      <c r="A64" s="198"/>
      <c r="B64" s="198"/>
      <c r="C64" s="198"/>
      <c r="D64" s="198"/>
      <c r="E64" s="198"/>
      <c r="F64" s="222"/>
      <c r="G64" s="222"/>
      <c r="H64" s="222"/>
      <c r="I64" s="222"/>
      <c r="J64" s="222"/>
      <c r="K64" s="223"/>
      <c r="L64" s="223"/>
      <c r="M64" s="225">
        <v>22487.636399599996</v>
      </c>
      <c r="N64" s="225">
        <v>22487.636399599996</v>
      </c>
      <c r="O64" s="225">
        <v>22487.636399599996</v>
      </c>
      <c r="P64" s="223"/>
      <c r="Q64" s="224">
        <v>1972550</v>
      </c>
      <c r="R64" s="225">
        <v>22487.66547157381</v>
      </c>
    </row>
    <row r="65" spans="1:20" s="34" customFormat="1" ht="15.75">
      <c r="A65" s="357" t="s">
        <v>7</v>
      </c>
      <c r="B65" s="309" t="s">
        <v>460</v>
      </c>
      <c r="C65" s="352"/>
      <c r="D65" s="352"/>
      <c r="E65" s="309"/>
      <c r="F65" s="330"/>
      <c r="G65" s="330"/>
      <c r="H65" s="330"/>
      <c r="I65" s="330"/>
      <c r="J65" s="330"/>
      <c r="K65" s="358"/>
      <c r="L65" s="358"/>
      <c r="M65" s="358"/>
      <c r="N65" s="358"/>
      <c r="O65" s="358"/>
      <c r="P65" s="358"/>
      <c r="Q65" s="358"/>
      <c r="R65" s="330"/>
      <c r="T65" s="35"/>
    </row>
    <row r="66" spans="1:22" s="34" customFormat="1" ht="47.25" customHeight="1">
      <c r="A66" s="493" t="s">
        <v>672</v>
      </c>
      <c r="B66" s="493"/>
      <c r="C66" s="493"/>
      <c r="D66" s="493"/>
      <c r="E66" s="493"/>
      <c r="F66" s="493"/>
      <c r="G66" s="493"/>
      <c r="H66" s="493"/>
      <c r="I66" s="493"/>
      <c r="J66" s="493"/>
      <c r="K66" s="493"/>
      <c r="L66" s="493"/>
      <c r="M66" s="493"/>
      <c r="N66" s="493"/>
      <c r="O66" s="493"/>
      <c r="P66" s="493"/>
      <c r="Q66" s="493"/>
      <c r="R66" s="493"/>
      <c r="T66" s="35"/>
      <c r="V66" s="54"/>
    </row>
    <row r="67" spans="1:18" s="10" customFormat="1" ht="24.75" customHeight="1">
      <c r="A67" s="355"/>
      <c r="B67" s="355"/>
      <c r="C67" s="355"/>
      <c r="D67" s="355"/>
      <c r="E67" s="355"/>
      <c r="F67" s="355"/>
      <c r="G67" s="355"/>
      <c r="H67" s="355"/>
      <c r="I67" s="355"/>
      <c r="J67" s="355"/>
      <c r="K67" s="355"/>
      <c r="L67" s="355"/>
      <c r="M67" s="355"/>
      <c r="N67" s="355"/>
      <c r="O67" s="355"/>
      <c r="P67" s="355"/>
      <c r="Q67" s="355"/>
      <c r="R67" s="355"/>
    </row>
    <row r="68" spans="1:18" s="10" customFormat="1" ht="18">
      <c r="A68" s="477"/>
      <c r="B68" s="477"/>
      <c r="C68" s="477"/>
      <c r="D68" s="477"/>
      <c r="E68" s="477"/>
      <c r="F68" s="477"/>
      <c r="G68" s="477"/>
      <c r="H68" s="477"/>
      <c r="I68" s="477"/>
      <c r="J68" s="477"/>
      <c r="K68" s="477"/>
      <c r="L68" s="477"/>
      <c r="M68" s="477"/>
      <c r="N68" s="477"/>
      <c r="O68" s="477"/>
      <c r="P68" s="477"/>
      <c r="Q68" s="477"/>
      <c r="R68" s="477"/>
    </row>
    <row r="69" spans="1:18" s="10" customFormat="1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s="10" customFormat="1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s="10" customFormat="1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s="10" customFormat="1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s="10" customFormat="1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s="10" customFormat="1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s="10" customFormat="1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s="10" customFormat="1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s="10" customFormat="1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s="10" customFormat="1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s="10" customFormat="1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s="10" customFormat="1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s="10" customFormat="1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s="10" customFormat="1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s="10" customFormat="1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s="10" customFormat="1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s="10" customFormat="1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s="10" customFormat="1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s="10" customFormat="1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</sheetData>
  <sheetProtection/>
  <mergeCells count="18">
    <mergeCell ref="B62:E62"/>
    <mergeCell ref="Q4:R4"/>
    <mergeCell ref="B26:E26"/>
    <mergeCell ref="B36:E36"/>
    <mergeCell ref="A3:E3"/>
    <mergeCell ref="A4:E5"/>
    <mergeCell ref="N4:N5"/>
    <mergeCell ref="O4:O5"/>
    <mergeCell ref="A66:R66"/>
    <mergeCell ref="A68:R68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scale="43" r:id="rId2"/>
  <headerFooter alignWithMargins="0">
    <oddHeader>&amp;C
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tabColor rgb="FF00B050"/>
    <pageSetUpPr fitToPage="1"/>
  </sheetPr>
  <dimension ref="A1:M83"/>
  <sheetViews>
    <sheetView showGridLines="0" zoomScaleSheetLayoutView="40" zoomScalePageLayoutView="0" workbookViewId="0" topLeftCell="A40">
      <selection activeCell="A1" sqref="A1"/>
    </sheetView>
  </sheetViews>
  <sheetFormatPr defaultColWidth="9.77734375" defaultRowHeight="15.75"/>
  <cols>
    <col min="1" max="1" width="0.88671875" style="1" customWidth="1"/>
    <col min="2" max="2" width="35.77734375" style="1" customWidth="1"/>
    <col min="3" max="3" width="13.5546875" style="1" customWidth="1"/>
    <col min="4" max="4" width="12.77734375" style="1" customWidth="1"/>
    <col min="5" max="6" width="10.77734375" style="1" customWidth="1"/>
    <col min="7" max="7" width="35.77734375" style="1" customWidth="1"/>
    <col min="8" max="8" width="13.5546875" style="1" customWidth="1"/>
    <col min="9" max="9" width="12.77734375" style="1" customWidth="1"/>
    <col min="10" max="12" width="9.77734375" style="1" customWidth="1"/>
    <col min="13" max="13" width="12.77734375" style="1" customWidth="1"/>
    <col min="14" max="14" width="10.10546875" style="1" bestFit="1" customWidth="1"/>
    <col min="15" max="20" width="9.77734375" style="1" customWidth="1"/>
    <col min="21" max="22" width="5.77734375" style="1" customWidth="1"/>
    <col min="23" max="25" width="9.77734375" style="1" customWidth="1"/>
    <col min="26" max="26" width="12.77734375" style="1" customWidth="1"/>
    <col min="27" max="16384" width="9.77734375" style="1" customWidth="1"/>
  </cols>
  <sheetData>
    <row r="1" spans="2:9" ht="18" customHeight="1">
      <c r="B1" s="413" t="s">
        <v>484</v>
      </c>
      <c r="C1" s="129"/>
      <c r="D1" s="129"/>
      <c r="E1" s="129"/>
      <c r="F1" s="129"/>
      <c r="G1" s="29"/>
      <c r="H1" s="29"/>
      <c r="I1" s="209" t="s">
        <v>440</v>
      </c>
    </row>
    <row r="2" spans="2:9" ht="18" customHeight="1">
      <c r="B2" s="413">
        <v>2010</v>
      </c>
      <c r="C2" s="129"/>
      <c r="D2" s="129"/>
      <c r="E2" s="129"/>
      <c r="F2" s="129"/>
      <c r="G2" s="29"/>
      <c r="H2" s="29"/>
      <c r="I2" s="29"/>
    </row>
    <row r="3" spans="1:9" ht="15" customHeight="1">
      <c r="A3" s="503"/>
      <c r="B3" s="503"/>
      <c r="C3" s="29"/>
      <c r="D3" s="29"/>
      <c r="E3" s="29"/>
      <c r="F3" s="29"/>
      <c r="G3" s="29"/>
      <c r="H3" s="29"/>
      <c r="I3" s="29"/>
    </row>
    <row r="4" spans="1:9" s="363" customFormat="1" ht="15" customHeight="1">
      <c r="A4" s="362"/>
      <c r="B4" s="362"/>
      <c r="C4" s="362"/>
      <c r="D4" s="362"/>
      <c r="E4" s="362"/>
      <c r="F4" s="362"/>
      <c r="G4" s="376"/>
      <c r="H4" s="362"/>
      <c r="I4" s="362"/>
    </row>
    <row r="5" spans="1:9" s="363" customFormat="1" ht="15" customHeight="1">
      <c r="A5" s="364"/>
      <c r="B5" s="508" t="s">
        <v>660</v>
      </c>
      <c r="C5" s="508"/>
      <c r="D5" s="508"/>
      <c r="E5" s="410"/>
      <c r="F5" s="364"/>
      <c r="G5" s="500" t="s">
        <v>639</v>
      </c>
      <c r="H5" s="500"/>
      <c r="I5" s="500"/>
    </row>
    <row r="6" spans="1:9" s="363" customFormat="1" ht="15" customHeight="1">
      <c r="A6" s="364"/>
      <c r="B6" s="368" t="s">
        <v>31</v>
      </c>
      <c r="C6" s="410"/>
      <c r="D6" s="410"/>
      <c r="E6" s="410"/>
      <c r="F6" s="364"/>
      <c r="G6" s="500"/>
      <c r="H6" s="500"/>
      <c r="I6" s="500"/>
    </row>
    <row r="7" spans="1:9" s="363" customFormat="1" ht="15" customHeight="1">
      <c r="A7" s="364"/>
      <c r="B7" s="368"/>
      <c r="C7" s="410"/>
      <c r="D7" s="410"/>
      <c r="E7" s="410"/>
      <c r="F7" s="364"/>
      <c r="G7" s="412" t="s">
        <v>31</v>
      </c>
      <c r="H7" s="411"/>
      <c r="I7" s="411"/>
    </row>
    <row r="8" spans="1:9" s="363" customFormat="1" ht="4.5" customHeight="1">
      <c r="A8" s="364"/>
      <c r="B8" s="392"/>
      <c r="C8" s="392"/>
      <c r="D8" s="392"/>
      <c r="E8" s="392"/>
      <c r="F8" s="364"/>
      <c r="H8" s="411"/>
      <c r="I8" s="411"/>
    </row>
    <row r="9" spans="1:9" s="363" customFormat="1" ht="15" customHeight="1">
      <c r="A9" s="364"/>
      <c r="B9" s="509" t="s">
        <v>662</v>
      </c>
      <c r="C9" s="498" t="s">
        <v>626</v>
      </c>
      <c r="D9" s="498" t="s">
        <v>659</v>
      </c>
      <c r="E9" s="427"/>
      <c r="F9" s="364"/>
      <c r="G9" s="511" t="s">
        <v>663</v>
      </c>
      <c r="H9" s="498" t="s">
        <v>626</v>
      </c>
      <c r="I9" s="498" t="s">
        <v>659</v>
      </c>
    </row>
    <row r="10" spans="1:9" s="365" customFormat="1" ht="18" customHeight="1">
      <c r="A10" s="364"/>
      <c r="B10" s="510"/>
      <c r="C10" s="499"/>
      <c r="D10" s="499"/>
      <c r="E10" s="427"/>
      <c r="F10" s="364"/>
      <c r="G10" s="510"/>
      <c r="H10" s="499"/>
      <c r="I10" s="499"/>
    </row>
    <row r="11" spans="1:9" s="365" customFormat="1" ht="16.5" customHeight="1">
      <c r="A11" s="364"/>
      <c r="B11" s="416" t="s">
        <v>614</v>
      </c>
      <c r="C11" s="418">
        <f>+C12+C19</f>
        <v>134547332</v>
      </c>
      <c r="D11" s="417"/>
      <c r="E11" s="417"/>
      <c r="F11" s="364"/>
      <c r="G11" s="416" t="s">
        <v>614</v>
      </c>
      <c r="H11" s="418">
        <f>SUM(H12:H21)</f>
        <v>134547332</v>
      </c>
      <c r="I11" s="419">
        <f>SUM(I12:I21)</f>
        <v>100</v>
      </c>
    </row>
    <row r="12" spans="1:9" s="365" customFormat="1" ht="16.5" customHeight="1">
      <c r="A12" s="364"/>
      <c r="B12" s="422" t="s">
        <v>615</v>
      </c>
      <c r="C12" s="418">
        <f>SUM(C13:C18)</f>
        <v>105356572</v>
      </c>
      <c r="D12" s="419">
        <f>SUM(D13:D18)</f>
        <v>99.99999999999999</v>
      </c>
      <c r="E12" s="419"/>
      <c r="F12" s="364"/>
      <c r="G12" s="423" t="s">
        <v>628</v>
      </c>
      <c r="H12" s="420">
        <v>3019851</v>
      </c>
      <c r="I12" s="421">
        <f aca="true" t="shared" si="0" ref="I12:I21">+(H12/$H$11)*100</f>
        <v>2.244452532139396</v>
      </c>
    </row>
    <row r="13" spans="1:9" s="365" customFormat="1" ht="16.5" customHeight="1">
      <c r="A13" s="364"/>
      <c r="B13" s="423" t="s">
        <v>616</v>
      </c>
      <c r="C13" s="420">
        <v>79839526</v>
      </c>
      <c r="D13" s="421">
        <f>+(C13/C12)*100</f>
        <v>75.78029968552887</v>
      </c>
      <c r="E13" s="421"/>
      <c r="F13" s="364"/>
      <c r="G13" s="423" t="s">
        <v>629</v>
      </c>
      <c r="H13" s="420">
        <v>4965339</v>
      </c>
      <c r="I13" s="421">
        <f t="shared" si="0"/>
        <v>3.6904031660769014</v>
      </c>
    </row>
    <row r="14" spans="1:12" s="365" customFormat="1" ht="16.5" customHeight="1">
      <c r="A14" s="364"/>
      <c r="B14" s="423" t="s">
        <v>617</v>
      </c>
      <c r="C14" s="420">
        <v>9806486</v>
      </c>
      <c r="D14" s="421">
        <f>+(C14/C12)*100</f>
        <v>9.307901551694373</v>
      </c>
      <c r="E14" s="421"/>
      <c r="F14" s="364"/>
      <c r="G14" s="423" t="s">
        <v>630</v>
      </c>
      <c r="H14" s="420">
        <v>6348159</v>
      </c>
      <c r="I14" s="421">
        <f t="shared" si="0"/>
        <v>4.718160446317881</v>
      </c>
      <c r="J14" s="366"/>
      <c r="K14" s="366"/>
      <c r="L14" s="366"/>
    </row>
    <row r="15" spans="1:12" s="365" customFormat="1" ht="16.5" customHeight="1">
      <c r="A15" s="364"/>
      <c r="B15" s="423" t="s">
        <v>618</v>
      </c>
      <c r="C15" s="420">
        <v>2496582</v>
      </c>
      <c r="D15" s="421">
        <f>+(C15/C12)*100</f>
        <v>2.3696499920289735</v>
      </c>
      <c r="E15" s="421"/>
      <c r="F15" s="364"/>
      <c r="G15" s="423" t="s">
        <v>631</v>
      </c>
      <c r="H15" s="420">
        <v>7636554</v>
      </c>
      <c r="I15" s="421">
        <f t="shared" si="0"/>
        <v>5.675737962607835</v>
      </c>
      <c r="J15" s="366"/>
      <c r="K15" s="366"/>
      <c r="L15" s="366"/>
    </row>
    <row r="16" spans="1:12" s="365" customFormat="1" ht="16.5" customHeight="1">
      <c r="A16" s="364"/>
      <c r="B16" s="423" t="s">
        <v>619</v>
      </c>
      <c r="C16" s="420">
        <v>2566794</v>
      </c>
      <c r="D16" s="421">
        <f>+(C16/C12)*100</f>
        <v>2.4362922514221514</v>
      </c>
      <c r="E16" s="421"/>
      <c r="F16" s="364"/>
      <c r="G16" s="423" t="s">
        <v>632</v>
      </c>
      <c r="H16" s="420">
        <v>8965107</v>
      </c>
      <c r="I16" s="421">
        <f t="shared" si="0"/>
        <v>6.66316222457685</v>
      </c>
      <c r="J16" s="366"/>
      <c r="K16" s="366"/>
      <c r="L16" s="366"/>
    </row>
    <row r="17" spans="1:12" s="365" customFormat="1" ht="16.5" customHeight="1">
      <c r="A17" s="364"/>
      <c r="B17" s="423" t="s">
        <v>82</v>
      </c>
      <c r="C17" s="420">
        <v>10543428</v>
      </c>
      <c r="D17" s="421">
        <f>+(C17/C12)*100</f>
        <v>10.007375714540142</v>
      </c>
      <c r="E17" s="421"/>
      <c r="F17" s="364"/>
      <c r="G17" s="423" t="s">
        <v>633</v>
      </c>
      <c r="H17" s="420">
        <v>10614887</v>
      </c>
      <c r="I17" s="421">
        <f t="shared" si="0"/>
        <v>7.889332952362073</v>
      </c>
      <c r="J17" s="366"/>
      <c r="K17" s="366"/>
      <c r="L17" s="366"/>
    </row>
    <row r="18" spans="1:12" s="365" customFormat="1" ht="16.5" customHeight="1">
      <c r="A18" s="364"/>
      <c r="B18" s="423" t="s">
        <v>620</v>
      </c>
      <c r="C18" s="420">
        <v>103756</v>
      </c>
      <c r="D18" s="421">
        <f>+(C18/C12)*100</f>
        <v>0.098480804785486</v>
      </c>
      <c r="E18" s="421"/>
      <c r="F18" s="364"/>
      <c r="G18" s="423" t="s">
        <v>634</v>
      </c>
      <c r="H18" s="420">
        <v>12842511</v>
      </c>
      <c r="I18" s="421">
        <f t="shared" si="0"/>
        <v>9.544976335911292</v>
      </c>
      <c r="J18" s="366"/>
      <c r="K18" s="366"/>
      <c r="L18" s="366"/>
    </row>
    <row r="19" spans="1:12" s="365" customFormat="1" ht="16.5" customHeight="1">
      <c r="A19" s="364"/>
      <c r="B19" s="422" t="s">
        <v>621</v>
      </c>
      <c r="C19" s="418">
        <f>SUM(C20:C23)</f>
        <v>29190760</v>
      </c>
      <c r="D19" s="419">
        <f>SUM(D20:D23)</f>
        <v>100</v>
      </c>
      <c r="E19" s="419"/>
      <c r="F19" s="364"/>
      <c r="G19" s="423" t="s">
        <v>635</v>
      </c>
      <c r="H19" s="420">
        <v>15794164</v>
      </c>
      <c r="I19" s="421">
        <f t="shared" si="0"/>
        <v>11.738741872637059</v>
      </c>
      <c r="J19" s="366"/>
      <c r="K19" s="366"/>
      <c r="L19" s="366"/>
    </row>
    <row r="20" spans="1:12" s="365" customFormat="1" ht="16.5" customHeight="1">
      <c r="A20" s="364"/>
      <c r="B20" s="423" t="s">
        <v>622</v>
      </c>
      <c r="C20" s="420">
        <v>474218</v>
      </c>
      <c r="D20" s="421">
        <f>+(C20/C19)*100</f>
        <v>1.6245483159739589</v>
      </c>
      <c r="E20" s="421"/>
      <c r="F20" s="364"/>
      <c r="G20" s="423" t="s">
        <v>636</v>
      </c>
      <c r="H20" s="420">
        <v>20823052</v>
      </c>
      <c r="I20" s="421">
        <f t="shared" si="0"/>
        <v>15.47637674450505</v>
      </c>
      <c r="J20" s="366"/>
      <c r="K20" s="366"/>
      <c r="L20" s="366"/>
    </row>
    <row r="21" spans="1:12" s="365" customFormat="1" ht="16.5" customHeight="1">
      <c r="A21" s="364"/>
      <c r="B21" s="423" t="s">
        <v>623</v>
      </c>
      <c r="C21" s="420">
        <v>1053422</v>
      </c>
      <c r="D21" s="421">
        <f>+(C21/C19)*100</f>
        <v>3.6087515364450944</v>
      </c>
      <c r="E21" s="421"/>
      <c r="F21" s="364"/>
      <c r="G21" s="423" t="s">
        <v>637</v>
      </c>
      <c r="H21" s="420">
        <v>43537708</v>
      </c>
      <c r="I21" s="421">
        <f t="shared" si="0"/>
        <v>32.358655762865666</v>
      </c>
      <c r="J21" s="366"/>
      <c r="K21" s="366"/>
      <c r="L21" s="366"/>
    </row>
    <row r="22" spans="1:9" s="365" customFormat="1" ht="16.5" customHeight="1">
      <c r="A22" s="364"/>
      <c r="B22" s="423" t="s">
        <v>624</v>
      </c>
      <c r="C22" s="420">
        <v>8743371</v>
      </c>
      <c r="D22" s="421">
        <f>+(C22/C19)*100</f>
        <v>29.95252949906066</v>
      </c>
      <c r="E22" s="421"/>
      <c r="F22" s="368"/>
      <c r="G22" s="424"/>
      <c r="H22" s="424"/>
      <c r="I22" s="425"/>
    </row>
    <row r="23" spans="1:10" s="365" customFormat="1" ht="16.5" customHeight="1">
      <c r="A23" s="364"/>
      <c r="B23" s="423" t="s">
        <v>625</v>
      </c>
      <c r="C23" s="420">
        <v>18919749</v>
      </c>
      <c r="D23" s="421">
        <f>+(C23/C19)*100</f>
        <v>64.81417064852029</v>
      </c>
      <c r="E23" s="421"/>
      <c r="F23" s="368"/>
      <c r="G23" s="504" t="s">
        <v>638</v>
      </c>
      <c r="H23" s="506">
        <v>0.401</v>
      </c>
      <c r="I23" s="453"/>
      <c r="J23" s="366"/>
    </row>
    <row r="24" spans="1:10" s="365" customFormat="1" ht="4.5" customHeight="1">
      <c r="A24" s="364"/>
      <c r="B24" s="367"/>
      <c r="C24" s="401"/>
      <c r="D24" s="402"/>
      <c r="E24" s="414"/>
      <c r="F24" s="368"/>
      <c r="G24" s="505"/>
      <c r="H24" s="507"/>
      <c r="I24" s="454"/>
      <c r="J24" s="366"/>
    </row>
    <row r="25" spans="1:10" s="365" customFormat="1" ht="34.5" customHeight="1">
      <c r="A25" s="364"/>
      <c r="B25" s="501" t="s">
        <v>661</v>
      </c>
      <c r="C25" s="501"/>
      <c r="D25" s="501"/>
      <c r="E25" s="415"/>
      <c r="F25" s="364"/>
      <c r="G25" s="501" t="s">
        <v>669</v>
      </c>
      <c r="H25" s="501"/>
      <c r="I25" s="501"/>
      <c r="J25" s="366"/>
    </row>
    <row r="26" spans="1:10" s="365" customFormat="1" ht="24.75" customHeight="1">
      <c r="A26" s="364"/>
      <c r="B26" s="377"/>
      <c r="C26" s="377"/>
      <c r="D26" s="377"/>
      <c r="E26" s="377"/>
      <c r="F26" s="364"/>
      <c r="G26" s="502" t="s">
        <v>668</v>
      </c>
      <c r="H26" s="502"/>
      <c r="I26" s="502"/>
      <c r="J26" s="366"/>
    </row>
    <row r="27" spans="1:10" s="4" customFormat="1" ht="15" customHeight="1">
      <c r="A27"/>
      <c r="B27"/>
      <c r="C27"/>
      <c r="D27"/>
      <c r="E27"/>
      <c r="F27"/>
      <c r="G27"/>
      <c r="H27"/>
      <c r="I27"/>
      <c r="J27" s="8"/>
    </row>
    <row r="28" spans="1:10" s="4" customFormat="1" ht="15" customHeight="1">
      <c r="A28"/>
      <c r="B28"/>
      <c r="C28"/>
      <c r="D28"/>
      <c r="E28"/>
      <c r="F28"/>
      <c r="G28"/>
      <c r="H28"/>
      <c r="I28"/>
      <c r="J28" s="8"/>
    </row>
    <row r="29" spans="1:9" s="4" customFormat="1" ht="15" customHeight="1">
      <c r="A29"/>
      <c r="B29"/>
      <c r="C29"/>
      <c r="D29"/>
      <c r="E29"/>
      <c r="F29"/>
      <c r="G29"/>
      <c r="H29"/>
      <c r="I29"/>
    </row>
    <row r="30" spans="1:9" s="4" customFormat="1" ht="15" customHeight="1">
      <c r="A30"/>
      <c r="B30"/>
      <c r="C30"/>
      <c r="D30"/>
      <c r="E30"/>
      <c r="F30"/>
      <c r="G30"/>
      <c r="H30"/>
      <c r="I30"/>
    </row>
    <row r="31" spans="1:9" s="4" customFormat="1" ht="15" customHeight="1">
      <c r="A31"/>
      <c r="B31"/>
      <c r="C31"/>
      <c r="D31"/>
      <c r="E31"/>
      <c r="F31"/>
      <c r="G31"/>
      <c r="H31"/>
      <c r="I31"/>
    </row>
    <row r="32" spans="1:9" s="4" customFormat="1" ht="15" customHeight="1">
      <c r="A32"/>
      <c r="B32"/>
      <c r="C32"/>
      <c r="D32"/>
      <c r="E32"/>
      <c r="F32"/>
      <c r="G32"/>
      <c r="H32"/>
      <c r="I32"/>
    </row>
    <row r="33" spans="1:9" s="4" customFormat="1" ht="15" customHeight="1">
      <c r="A33"/>
      <c r="B33"/>
      <c r="C33"/>
      <c r="D33"/>
      <c r="E33"/>
      <c r="F33"/>
      <c r="G33"/>
      <c r="H33"/>
      <c r="I33"/>
    </row>
    <row r="34" spans="1:9" s="4" customFormat="1" ht="15" customHeight="1">
      <c r="A34"/>
      <c r="B34"/>
      <c r="C34"/>
      <c r="D34"/>
      <c r="E34"/>
      <c r="F34"/>
      <c r="G34"/>
      <c r="H34"/>
      <c r="I34"/>
    </row>
    <row r="35" spans="1:9" s="4" customFormat="1" ht="15" customHeight="1">
      <c r="A35"/>
      <c r="B35"/>
      <c r="C35"/>
      <c r="D35"/>
      <c r="E35"/>
      <c r="F35"/>
      <c r="G35"/>
      <c r="H35"/>
      <c r="I35"/>
    </row>
    <row r="36" spans="1:9" s="4" customFormat="1" ht="15" customHeight="1">
      <c r="A36"/>
      <c r="B36"/>
      <c r="C36"/>
      <c r="D36"/>
      <c r="E36"/>
      <c r="F36"/>
      <c r="G36"/>
      <c r="H36"/>
      <c r="I36"/>
    </row>
    <row r="37" spans="1:9" s="4" customFormat="1" ht="15" customHeight="1">
      <c r="A37"/>
      <c r="B37"/>
      <c r="C37"/>
      <c r="D37"/>
      <c r="E37"/>
      <c r="F37"/>
      <c r="G37"/>
      <c r="H37"/>
      <c r="I37"/>
    </row>
    <row r="38" spans="1:9" s="4" customFormat="1" ht="15" customHeight="1">
      <c r="A38"/>
      <c r="B38"/>
      <c r="C38"/>
      <c r="D38"/>
      <c r="E38"/>
      <c r="F38"/>
      <c r="G38"/>
      <c r="H38"/>
      <c r="I38"/>
    </row>
    <row r="39" spans="1:9" s="4" customFormat="1" ht="15" customHeight="1">
      <c r="A39"/>
      <c r="B39"/>
      <c r="C39"/>
      <c r="D39"/>
      <c r="E39"/>
      <c r="F39"/>
      <c r="G39"/>
      <c r="H39"/>
      <c r="I39"/>
    </row>
    <row r="40" spans="1:9" s="4" customFormat="1" ht="15" customHeight="1">
      <c r="A40"/>
      <c r="B40"/>
      <c r="C40"/>
      <c r="D40"/>
      <c r="E40"/>
      <c r="F40"/>
      <c r="G40"/>
      <c r="H40"/>
      <c r="I40"/>
    </row>
    <row r="41" spans="1:9" s="4" customFormat="1" ht="15" customHeight="1">
      <c r="A41"/>
      <c r="B41"/>
      <c r="C41"/>
      <c r="D41"/>
      <c r="E41"/>
      <c r="F41"/>
      <c r="G41"/>
      <c r="H41"/>
      <c r="I41"/>
    </row>
    <row r="42" spans="1:9" s="4" customFormat="1" ht="15" customHeight="1">
      <c r="A42"/>
      <c r="B42"/>
      <c r="C42"/>
      <c r="D42"/>
      <c r="E42"/>
      <c r="F42"/>
      <c r="G42"/>
      <c r="H42"/>
      <c r="I42"/>
    </row>
    <row r="43" spans="1:9" s="4" customFormat="1" ht="15" customHeight="1">
      <c r="A43"/>
      <c r="B43"/>
      <c r="C43"/>
      <c r="D43"/>
      <c r="E43"/>
      <c r="F43"/>
      <c r="G43"/>
      <c r="H43"/>
      <c r="I43"/>
    </row>
    <row r="44" spans="1:9" s="4" customFormat="1" ht="15" customHeight="1">
      <c r="A44"/>
      <c r="B44"/>
      <c r="C44"/>
      <c r="D44"/>
      <c r="E44"/>
      <c r="F44"/>
      <c r="G44"/>
      <c r="H44"/>
      <c r="I44"/>
    </row>
    <row r="45" spans="1:9" s="4" customFormat="1" ht="15" customHeight="1">
      <c r="A45"/>
      <c r="B45"/>
      <c r="C45"/>
      <c r="D45"/>
      <c r="E45"/>
      <c r="F45"/>
      <c r="G45"/>
      <c r="H45"/>
      <c r="I45"/>
    </row>
    <row r="46" spans="1:9" s="4" customFormat="1" ht="15" customHeight="1">
      <c r="A46"/>
      <c r="B46"/>
      <c r="C46"/>
      <c r="D46"/>
      <c r="E46"/>
      <c r="F46"/>
      <c r="G46"/>
      <c r="H46"/>
      <c r="I46"/>
    </row>
    <row r="47" spans="1:9" s="4" customFormat="1" ht="15" customHeight="1">
      <c r="A47"/>
      <c r="B47"/>
      <c r="C47"/>
      <c r="D47"/>
      <c r="E47"/>
      <c r="F47"/>
      <c r="G47"/>
      <c r="H47"/>
      <c r="I47"/>
    </row>
    <row r="48" spans="1:9" s="4" customFormat="1" ht="15" customHeight="1">
      <c r="A48"/>
      <c r="B48"/>
      <c r="C48"/>
      <c r="D48"/>
      <c r="E48"/>
      <c r="F48"/>
      <c r="G48"/>
      <c r="H48"/>
      <c r="I48"/>
    </row>
    <row r="49" spans="1:9" s="4" customFormat="1" ht="15" customHeight="1">
      <c r="A49"/>
      <c r="B49"/>
      <c r="C49"/>
      <c r="D49"/>
      <c r="E49"/>
      <c r="F49"/>
      <c r="G49"/>
      <c r="H49"/>
      <c r="I49"/>
    </row>
    <row r="50" spans="1:9" s="4" customFormat="1" ht="15" customHeight="1">
      <c r="A50"/>
      <c r="B50"/>
      <c r="C50"/>
      <c r="D50"/>
      <c r="E50"/>
      <c r="F50"/>
      <c r="G50"/>
      <c r="H50"/>
      <c r="I50"/>
    </row>
    <row r="51" spans="1:9" s="4" customFormat="1" ht="15" customHeight="1">
      <c r="A51"/>
      <c r="B51"/>
      <c r="C51"/>
      <c r="D51"/>
      <c r="E51"/>
      <c r="F51"/>
      <c r="G51"/>
      <c r="H51"/>
      <c r="I51"/>
    </row>
    <row r="52" spans="1:9" s="4" customFormat="1" ht="15" customHeight="1">
      <c r="A52"/>
      <c r="B52"/>
      <c r="C52"/>
      <c r="D52"/>
      <c r="E52"/>
      <c r="F52"/>
      <c r="G52"/>
      <c r="H52"/>
      <c r="I52"/>
    </row>
    <row r="53" spans="1:9" s="4" customFormat="1" ht="15" customHeight="1">
      <c r="A53"/>
      <c r="B53"/>
      <c r="C53"/>
      <c r="D53"/>
      <c r="E53"/>
      <c r="F53"/>
      <c r="G53"/>
      <c r="H53"/>
      <c r="I53"/>
    </row>
    <row r="54" spans="1:9" s="4" customFormat="1" ht="15" customHeight="1">
      <c r="A54"/>
      <c r="B54"/>
      <c r="C54"/>
      <c r="D54"/>
      <c r="E54"/>
      <c r="F54"/>
      <c r="G54"/>
      <c r="H54"/>
      <c r="I54"/>
    </row>
    <row r="55" spans="1:9" s="4" customFormat="1" ht="15" customHeight="1">
      <c r="A55"/>
      <c r="B55"/>
      <c r="C55"/>
      <c r="D55"/>
      <c r="E55"/>
      <c r="F55"/>
      <c r="G55"/>
      <c r="H55"/>
      <c r="I55"/>
    </row>
    <row r="56" spans="1:9" s="4" customFormat="1" ht="15" customHeight="1">
      <c r="A56"/>
      <c r="B56"/>
      <c r="C56"/>
      <c r="D56"/>
      <c r="E56"/>
      <c r="F56"/>
      <c r="G56"/>
      <c r="H56"/>
      <c r="I56"/>
    </row>
    <row r="57" spans="1:9" s="4" customFormat="1" ht="15" customHeight="1">
      <c r="A57"/>
      <c r="B57"/>
      <c r="C57"/>
      <c r="D57"/>
      <c r="E57"/>
      <c r="F57"/>
      <c r="G57"/>
      <c r="H57"/>
      <c r="I57"/>
    </row>
    <row r="58" spans="1:9" s="4" customFormat="1" ht="15" customHeight="1">
      <c r="A58"/>
      <c r="B58"/>
      <c r="C58"/>
      <c r="D58"/>
      <c r="E58"/>
      <c r="F58"/>
      <c r="G58"/>
      <c r="H58"/>
      <c r="I58"/>
    </row>
    <row r="59" spans="1:9" s="4" customFormat="1" ht="15" customHeight="1">
      <c r="A59"/>
      <c r="B59"/>
      <c r="C59"/>
      <c r="D59"/>
      <c r="E59"/>
      <c r="F59"/>
      <c r="G59"/>
      <c r="H59"/>
      <c r="I59"/>
    </row>
    <row r="60" spans="1:9" s="4" customFormat="1" ht="15" customHeight="1">
      <c r="A60"/>
      <c r="B60"/>
      <c r="C60"/>
      <c r="D60"/>
      <c r="E60"/>
      <c r="F60"/>
      <c r="G60"/>
      <c r="H60"/>
      <c r="I60"/>
    </row>
    <row r="61" spans="1:9" s="4" customFormat="1" ht="15" customHeight="1">
      <c r="A61"/>
      <c r="B61"/>
      <c r="C61"/>
      <c r="D61"/>
      <c r="E61"/>
      <c r="F61"/>
      <c r="G61"/>
      <c r="H61"/>
      <c r="I61"/>
    </row>
    <row r="62" spans="1:9" s="4" customFormat="1" ht="15" customHeight="1">
      <c r="A62"/>
      <c r="B62"/>
      <c r="C62"/>
      <c r="D62"/>
      <c r="E62"/>
      <c r="F62"/>
      <c r="G62"/>
      <c r="H62"/>
      <c r="I62"/>
    </row>
    <row r="63" spans="1:9" s="4" customFormat="1" ht="15" customHeight="1">
      <c r="A63"/>
      <c r="B63"/>
      <c r="C63"/>
      <c r="D63"/>
      <c r="E63"/>
      <c r="F63"/>
      <c r="G63"/>
      <c r="H63"/>
      <c r="I63"/>
    </row>
    <row r="64" spans="1:9" s="4" customFormat="1" ht="15" customHeight="1">
      <c r="A64"/>
      <c r="B64"/>
      <c r="C64"/>
      <c r="D64"/>
      <c r="E64"/>
      <c r="F64"/>
      <c r="G64"/>
      <c r="H64"/>
      <c r="I64"/>
    </row>
    <row r="65" spans="1:9" s="4" customFormat="1" ht="15" customHeight="1">
      <c r="A65"/>
      <c r="B65"/>
      <c r="C65"/>
      <c r="D65"/>
      <c r="E65"/>
      <c r="F65"/>
      <c r="G65"/>
      <c r="H65"/>
      <c r="I65"/>
    </row>
    <row r="66" spans="1:9" s="4" customFormat="1" ht="15" customHeight="1">
      <c r="A66"/>
      <c r="B66"/>
      <c r="C66"/>
      <c r="D66"/>
      <c r="E66"/>
      <c r="F66"/>
      <c r="G66"/>
      <c r="H66"/>
      <c r="I66"/>
    </row>
    <row r="67" spans="1:9" s="4" customFormat="1" ht="15" customHeight="1">
      <c r="A67"/>
      <c r="B67"/>
      <c r="C67"/>
      <c r="D67"/>
      <c r="E67"/>
      <c r="F67"/>
      <c r="G67"/>
      <c r="H67"/>
      <c r="I67"/>
    </row>
    <row r="68" spans="1:9" s="10" customFormat="1" ht="15" customHeight="1">
      <c r="A68" s="2"/>
      <c r="B68" s="2"/>
      <c r="C68" s="38"/>
      <c r="D68" s="38"/>
      <c r="E68" s="38"/>
      <c r="F68" s="38"/>
      <c r="G68" s="33"/>
      <c r="H68" s="33"/>
      <c r="I68" s="56"/>
    </row>
    <row r="69" spans="1:13" s="4" customFormat="1" ht="15" customHeight="1">
      <c r="A69" s="10"/>
      <c r="B69" s="10"/>
      <c r="C69" s="52"/>
      <c r="D69" s="52"/>
      <c r="E69" s="52"/>
      <c r="F69" s="52"/>
      <c r="G69" s="53"/>
      <c r="H69" s="53"/>
      <c r="I69" s="53"/>
      <c r="J69" s="10"/>
      <c r="K69" s="10"/>
      <c r="L69" s="10"/>
      <c r="M69" s="10"/>
    </row>
    <row r="70" spans="2:13" s="36" customFormat="1" ht="15" customHeight="1">
      <c r="B70" s="106" t="s">
        <v>25</v>
      </c>
      <c r="C70" s="34"/>
      <c r="D70" s="34"/>
      <c r="E70" s="34"/>
      <c r="F70" s="34"/>
      <c r="G70" s="35"/>
      <c r="H70" s="35"/>
      <c r="I70" s="35"/>
      <c r="J70" s="34"/>
      <c r="K70" s="35"/>
      <c r="L70" s="34"/>
      <c r="M70" s="54"/>
    </row>
    <row r="72" spans="1:9" ht="18">
      <c r="A72" s="426"/>
      <c r="B72" s="426"/>
      <c r="C72" s="426"/>
      <c r="D72" s="426"/>
      <c r="E72" s="426"/>
      <c r="F72" s="426"/>
      <c r="G72" s="426"/>
      <c r="H72" s="426"/>
      <c r="I72" s="426"/>
    </row>
    <row r="73" spans="2:3" s="440" customFormat="1" ht="15">
      <c r="B73" s="441" t="s">
        <v>616</v>
      </c>
      <c r="C73" s="442">
        <v>75.78029968552887</v>
      </c>
    </row>
    <row r="74" spans="2:3" s="440" customFormat="1" ht="15">
      <c r="B74" s="441" t="s">
        <v>617</v>
      </c>
      <c r="C74" s="442">
        <v>9.307901551694373</v>
      </c>
    </row>
    <row r="75" spans="2:3" s="440" customFormat="1" ht="15">
      <c r="B75" s="441" t="s">
        <v>618</v>
      </c>
      <c r="C75" s="442">
        <v>2.3696499920289735</v>
      </c>
    </row>
    <row r="76" spans="2:3" s="440" customFormat="1" ht="15">
      <c r="B76" s="441" t="s">
        <v>619</v>
      </c>
      <c r="C76" s="442">
        <v>2.4362922514221514</v>
      </c>
    </row>
    <row r="77" spans="2:3" s="440" customFormat="1" ht="15">
      <c r="B77" s="441" t="s">
        <v>82</v>
      </c>
      <c r="C77" s="442">
        <v>10.007375714540142</v>
      </c>
    </row>
    <row r="78" spans="2:3" s="440" customFormat="1" ht="15">
      <c r="B78" s="441" t="s">
        <v>620</v>
      </c>
      <c r="C78" s="442">
        <v>0.098480804785486</v>
      </c>
    </row>
    <row r="79" s="440" customFormat="1" ht="15"/>
    <row r="80" spans="2:3" s="440" customFormat="1" ht="15">
      <c r="B80" s="441" t="s">
        <v>622</v>
      </c>
      <c r="C80" s="442">
        <v>1.6245483159739589</v>
      </c>
    </row>
    <row r="81" spans="2:3" s="440" customFormat="1" ht="15">
      <c r="B81" s="441" t="s">
        <v>623</v>
      </c>
      <c r="C81" s="442">
        <v>3.6087515364450944</v>
      </c>
    </row>
    <row r="82" spans="2:3" s="440" customFormat="1" ht="15">
      <c r="B82" s="441" t="s">
        <v>624</v>
      </c>
      <c r="C82" s="442">
        <v>29.95252949906066</v>
      </c>
    </row>
    <row r="83" spans="2:3" s="440" customFormat="1" ht="15">
      <c r="B83" s="441" t="s">
        <v>625</v>
      </c>
      <c r="C83" s="442">
        <v>64.81417064852029</v>
      </c>
    </row>
    <row r="84" s="440" customFormat="1" ht="15"/>
    <row r="85" s="440" customFormat="1" ht="15"/>
  </sheetData>
  <sheetProtection/>
  <mergeCells count="14">
    <mergeCell ref="C9:C10"/>
    <mergeCell ref="D9:D10"/>
    <mergeCell ref="G9:G10"/>
    <mergeCell ref="H9:H10"/>
    <mergeCell ref="I9:I10"/>
    <mergeCell ref="G5:I6"/>
    <mergeCell ref="G25:I25"/>
    <mergeCell ref="B25:D25"/>
    <mergeCell ref="G26:I26"/>
    <mergeCell ref="A3:B3"/>
    <mergeCell ref="G23:G24"/>
    <mergeCell ref="H23:H24"/>
    <mergeCell ref="B5:D5"/>
    <mergeCell ref="B9:B10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scale="53" r:id="rId3"/>
  <headerFooter alignWithMargins="0">
    <oddHeader>&amp;C
</oddHeader>
  </headerFooter>
  <drawing r:id="rId1"/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tabColor theme="9"/>
  </sheetPr>
  <dimension ref="A1:V70"/>
  <sheetViews>
    <sheetView showGridLines="0" zoomScaleSheetLayoutView="40" zoomScalePageLayoutView="0" workbookViewId="0" topLeftCell="A1">
      <selection activeCell="A1" sqref="A1"/>
    </sheetView>
  </sheetViews>
  <sheetFormatPr defaultColWidth="9.77734375" defaultRowHeight="15.75"/>
  <cols>
    <col min="1" max="5" width="2.77734375" style="1" customWidth="1"/>
    <col min="6" max="6" width="25.6640625" style="1" customWidth="1"/>
    <col min="7" max="7" width="11.77734375" style="1" customWidth="1"/>
    <col min="8" max="8" width="13.5546875" style="1" customWidth="1"/>
    <col min="9" max="11" width="11.77734375" style="1" customWidth="1"/>
    <col min="12" max="12" width="3.3359375" style="1" customWidth="1"/>
    <col min="13" max="15" width="11.77734375" style="1" customWidth="1"/>
    <col min="16" max="16" width="14.4453125" style="1" customWidth="1"/>
    <col min="17" max="17" width="4.5546875" style="1" customWidth="1"/>
    <col min="18" max="18" width="14.4453125" style="1" customWidth="1"/>
    <col min="19" max="21" width="9.77734375" style="1" customWidth="1"/>
    <col min="22" max="22" width="12.77734375" style="1" customWidth="1"/>
    <col min="23" max="23" width="10.10546875" style="1" bestFit="1" customWidth="1"/>
    <col min="24" max="29" width="9.77734375" style="1" customWidth="1"/>
    <col min="30" max="31" width="5.77734375" style="1" customWidth="1"/>
    <col min="32" max="34" width="9.77734375" style="1" customWidth="1"/>
    <col min="35" max="35" width="12.77734375" style="1" customWidth="1"/>
    <col min="36" max="16384" width="9.77734375" style="1" customWidth="1"/>
  </cols>
  <sheetData>
    <row r="1" spans="1:18" ht="18" customHeight="1">
      <c r="A1" s="170" t="s">
        <v>484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29"/>
      <c r="M1" s="29"/>
      <c r="N1" s="29"/>
      <c r="O1" s="29"/>
      <c r="P1" s="29"/>
      <c r="Q1" s="29"/>
      <c r="R1" s="209" t="s">
        <v>440</v>
      </c>
    </row>
    <row r="2" spans="1:18" ht="13.5" customHeight="1">
      <c r="A2" s="515">
        <v>2010</v>
      </c>
      <c r="B2" s="515"/>
      <c r="C2" s="515"/>
      <c r="D2" s="129"/>
      <c r="E2" s="129"/>
      <c r="F2" s="129"/>
      <c r="G2" s="129"/>
      <c r="H2" s="129"/>
      <c r="I2" s="129"/>
      <c r="J2" s="129"/>
      <c r="K2" s="129"/>
      <c r="L2" s="29"/>
      <c r="M2" s="29"/>
      <c r="N2" s="29"/>
      <c r="O2" s="29"/>
      <c r="P2" s="29"/>
      <c r="Q2" s="29"/>
      <c r="R2" s="29"/>
    </row>
    <row r="3" spans="1:18" ht="15" customHeight="1">
      <c r="A3" s="503"/>
      <c r="B3" s="503"/>
      <c r="C3" s="503"/>
      <c r="D3" s="503"/>
      <c r="E3" s="503"/>
      <c r="F3" s="503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s="363" customFormat="1" ht="15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76"/>
      <c r="N4" s="376"/>
      <c r="O4" s="362"/>
      <c r="P4" s="362"/>
      <c r="Q4" s="362"/>
      <c r="R4" s="362"/>
    </row>
    <row r="5" spans="1:18" s="363" customFormat="1" ht="15" customHeight="1">
      <c r="A5" s="364"/>
      <c r="B5" s="364"/>
      <c r="C5" s="508" t="s">
        <v>660</v>
      </c>
      <c r="D5" s="508"/>
      <c r="E5" s="508"/>
      <c r="F5" s="508"/>
      <c r="G5" s="508"/>
      <c r="H5" s="508"/>
      <c r="I5" s="508"/>
      <c r="J5" s="364"/>
      <c r="K5" s="364"/>
      <c r="L5" s="364"/>
      <c r="M5" s="500" t="s">
        <v>639</v>
      </c>
      <c r="N5" s="500"/>
      <c r="O5" s="500"/>
      <c r="P5" s="500"/>
      <c r="Q5" s="500"/>
      <c r="R5" s="500"/>
    </row>
    <row r="6" spans="1:18" s="363" customFormat="1" ht="15" customHeight="1">
      <c r="A6" s="364"/>
      <c r="B6" s="364"/>
      <c r="C6" s="368" t="s">
        <v>31</v>
      </c>
      <c r="D6" s="410"/>
      <c r="E6" s="410"/>
      <c r="F6" s="410"/>
      <c r="G6" s="410"/>
      <c r="H6" s="410"/>
      <c r="I6" s="410"/>
      <c r="J6" s="364"/>
      <c r="K6" s="364"/>
      <c r="L6" s="364"/>
      <c r="M6" s="500"/>
      <c r="N6" s="500"/>
      <c r="O6" s="500"/>
      <c r="P6" s="500"/>
      <c r="Q6" s="500"/>
      <c r="R6" s="500"/>
    </row>
    <row r="7" spans="1:18" s="363" customFormat="1" ht="15">
      <c r="A7" s="364"/>
      <c r="B7" s="364"/>
      <c r="C7" s="392"/>
      <c r="D7" s="392"/>
      <c r="E7" s="392"/>
      <c r="F7" s="392"/>
      <c r="G7" s="392"/>
      <c r="H7" s="392"/>
      <c r="I7" s="392"/>
      <c r="J7" s="364"/>
      <c r="K7" s="364"/>
      <c r="L7" s="364"/>
      <c r="M7" s="412" t="s">
        <v>31</v>
      </c>
      <c r="N7" s="411"/>
      <c r="O7" s="411"/>
      <c r="P7" s="411"/>
      <c r="Q7" s="411"/>
      <c r="R7" s="411"/>
    </row>
    <row r="8" spans="1:18" s="363" customFormat="1" ht="18" customHeight="1">
      <c r="A8" s="364"/>
      <c r="B8" s="364"/>
      <c r="C8" s="516" t="s">
        <v>613</v>
      </c>
      <c r="D8" s="516"/>
      <c r="E8" s="516"/>
      <c r="F8" s="516"/>
      <c r="G8" s="368"/>
      <c r="H8" s="518">
        <v>2010</v>
      </c>
      <c r="I8" s="518"/>
      <c r="J8" s="364"/>
      <c r="K8" s="364"/>
      <c r="L8" s="364"/>
      <c r="M8" s="400"/>
      <c r="N8" s="400"/>
      <c r="O8" s="400"/>
      <c r="P8" s="400"/>
      <c r="Q8" s="400"/>
      <c r="R8" s="400"/>
    </row>
    <row r="9" spans="1:18" s="365" customFormat="1" ht="18" customHeight="1">
      <c r="A9" s="364"/>
      <c r="B9" s="364"/>
      <c r="C9" s="517"/>
      <c r="D9" s="517"/>
      <c r="E9" s="517"/>
      <c r="F9" s="517"/>
      <c r="G9" s="367"/>
      <c r="H9" s="403" t="s">
        <v>626</v>
      </c>
      <c r="I9" s="403" t="s">
        <v>659</v>
      </c>
      <c r="J9" s="364"/>
      <c r="K9" s="364"/>
      <c r="L9" s="364"/>
      <c r="M9" s="404"/>
      <c r="N9" s="404"/>
      <c r="O9" s="404"/>
      <c r="P9" s="519">
        <v>2010</v>
      </c>
      <c r="Q9" s="519"/>
      <c r="R9" s="519"/>
    </row>
    <row r="10" spans="1:18" s="365" customFormat="1" ht="18" customHeight="1">
      <c r="A10" s="364"/>
      <c r="B10" s="364"/>
      <c r="C10" s="364"/>
      <c r="D10" s="393" t="s">
        <v>614</v>
      </c>
      <c r="E10" s="394"/>
      <c r="F10" s="394"/>
      <c r="G10" s="394"/>
      <c r="H10" s="395">
        <f>+H11+H18</f>
        <v>134547332</v>
      </c>
      <c r="I10" s="394"/>
      <c r="J10" s="364"/>
      <c r="K10" s="364"/>
      <c r="L10" s="364"/>
      <c r="M10" s="406"/>
      <c r="N10" s="406"/>
      <c r="O10" s="406"/>
      <c r="P10" s="405" t="s">
        <v>626</v>
      </c>
      <c r="Q10" s="405"/>
      <c r="R10" s="407" t="s">
        <v>19</v>
      </c>
    </row>
    <row r="11" spans="1:18" s="365" customFormat="1" ht="15" customHeight="1">
      <c r="A11" s="364"/>
      <c r="B11" s="364"/>
      <c r="C11" s="364"/>
      <c r="D11" s="394"/>
      <c r="E11" s="394" t="s">
        <v>615</v>
      </c>
      <c r="F11" s="396"/>
      <c r="G11" s="394"/>
      <c r="H11" s="397">
        <f>SUM(H12:H17)</f>
        <v>105356572</v>
      </c>
      <c r="I11" s="398">
        <f>SUM(I12:I17)</f>
        <v>99.99999999999999</v>
      </c>
      <c r="J11" s="364"/>
      <c r="K11" s="364"/>
      <c r="L11" s="364"/>
      <c r="M11" s="393" t="s">
        <v>614</v>
      </c>
      <c r="N11" s="396"/>
      <c r="O11" s="394"/>
      <c r="P11" s="395">
        <f>SUM(P12:P21)</f>
        <v>134547332</v>
      </c>
      <c r="Q11" s="394"/>
      <c r="R11" s="408">
        <f>SUM(R12:R21)</f>
        <v>100</v>
      </c>
    </row>
    <row r="12" spans="1:18" s="365" customFormat="1" ht="15">
      <c r="A12" s="364"/>
      <c r="B12" s="364"/>
      <c r="C12" s="364"/>
      <c r="D12" s="394"/>
      <c r="E12" s="394"/>
      <c r="F12" s="394" t="s">
        <v>616</v>
      </c>
      <c r="G12" s="394"/>
      <c r="H12" s="397">
        <v>79839526</v>
      </c>
      <c r="I12" s="399">
        <f>+(H12/H11)*100</f>
        <v>75.78029968552887</v>
      </c>
      <c r="J12" s="364"/>
      <c r="K12" s="364"/>
      <c r="L12" s="364"/>
      <c r="M12" s="394" t="s">
        <v>628</v>
      </c>
      <c r="N12" s="394"/>
      <c r="O12" s="394"/>
      <c r="P12" s="397">
        <v>3019851</v>
      </c>
      <c r="Q12" s="394"/>
      <c r="R12" s="409">
        <f>+(P12/$P$11)*100</f>
        <v>2.244452532139396</v>
      </c>
    </row>
    <row r="13" spans="1:21" s="365" customFormat="1" ht="16.5" customHeight="1">
      <c r="A13" s="364"/>
      <c r="B13" s="364"/>
      <c r="C13" s="364"/>
      <c r="D13" s="394"/>
      <c r="E13" s="394"/>
      <c r="F13" s="394" t="s">
        <v>617</v>
      </c>
      <c r="G13" s="394"/>
      <c r="H13" s="397">
        <v>9806486</v>
      </c>
      <c r="I13" s="399">
        <f>+(H13/H11)*100</f>
        <v>9.307901551694373</v>
      </c>
      <c r="J13" s="364"/>
      <c r="K13" s="364"/>
      <c r="L13" s="364"/>
      <c r="M13" s="394" t="s">
        <v>629</v>
      </c>
      <c r="N13" s="394"/>
      <c r="O13" s="394"/>
      <c r="P13" s="397">
        <v>4965339</v>
      </c>
      <c r="Q13" s="394"/>
      <c r="R13" s="409">
        <f aca="true" t="shared" si="0" ref="R13:R21">+(P13/$P$11)*100</f>
        <v>3.6904031660769014</v>
      </c>
      <c r="S13" s="366"/>
      <c r="T13" s="366"/>
      <c r="U13" s="366"/>
    </row>
    <row r="14" spans="1:21" s="365" customFormat="1" ht="15">
      <c r="A14" s="364"/>
      <c r="B14" s="364"/>
      <c r="C14" s="364"/>
      <c r="D14" s="394"/>
      <c r="E14" s="394"/>
      <c r="F14" s="394" t="s">
        <v>618</v>
      </c>
      <c r="G14" s="394"/>
      <c r="H14" s="397">
        <v>2496582</v>
      </c>
      <c r="I14" s="399">
        <f>+(H14/H11)*100</f>
        <v>2.3696499920289735</v>
      </c>
      <c r="J14" s="364"/>
      <c r="K14" s="364"/>
      <c r="L14" s="364"/>
      <c r="M14" s="394" t="s">
        <v>630</v>
      </c>
      <c r="N14" s="394"/>
      <c r="O14" s="394"/>
      <c r="P14" s="397">
        <v>6348159</v>
      </c>
      <c r="Q14" s="394"/>
      <c r="R14" s="409">
        <f t="shared" si="0"/>
        <v>4.718160446317881</v>
      </c>
      <c r="S14" s="366"/>
      <c r="T14" s="366"/>
      <c r="U14" s="366"/>
    </row>
    <row r="15" spans="1:21" s="365" customFormat="1" ht="15">
      <c r="A15" s="364"/>
      <c r="B15" s="364"/>
      <c r="C15" s="364"/>
      <c r="D15" s="394"/>
      <c r="E15" s="394"/>
      <c r="F15" s="394" t="s">
        <v>619</v>
      </c>
      <c r="G15" s="394"/>
      <c r="H15" s="397">
        <v>2566794</v>
      </c>
      <c r="I15" s="399">
        <f>+(H15/H11)*100</f>
        <v>2.4362922514221514</v>
      </c>
      <c r="J15" s="364"/>
      <c r="K15" s="364"/>
      <c r="L15" s="364"/>
      <c r="M15" s="394" t="s">
        <v>631</v>
      </c>
      <c r="N15" s="394"/>
      <c r="O15" s="394"/>
      <c r="P15" s="397">
        <v>7636554</v>
      </c>
      <c r="Q15" s="394"/>
      <c r="R15" s="409">
        <f t="shared" si="0"/>
        <v>5.675737962607835</v>
      </c>
      <c r="S15" s="366"/>
      <c r="T15" s="366"/>
      <c r="U15" s="366"/>
    </row>
    <row r="16" spans="1:21" s="365" customFormat="1" ht="15">
      <c r="A16" s="364"/>
      <c r="B16" s="364"/>
      <c r="C16" s="364"/>
      <c r="D16" s="394"/>
      <c r="E16" s="394"/>
      <c r="F16" s="394" t="s">
        <v>82</v>
      </c>
      <c r="G16" s="394"/>
      <c r="H16" s="397">
        <v>10543428</v>
      </c>
      <c r="I16" s="399">
        <f>+(H16/H11)*100</f>
        <v>10.007375714540142</v>
      </c>
      <c r="J16" s="364"/>
      <c r="K16" s="364"/>
      <c r="L16" s="364"/>
      <c r="M16" s="394" t="s">
        <v>632</v>
      </c>
      <c r="N16" s="394"/>
      <c r="O16" s="394"/>
      <c r="P16" s="397">
        <v>8965107</v>
      </c>
      <c r="Q16" s="394"/>
      <c r="R16" s="409">
        <f t="shared" si="0"/>
        <v>6.66316222457685</v>
      </c>
      <c r="S16" s="366" t="s">
        <v>489</v>
      </c>
      <c r="T16" s="366"/>
      <c r="U16" s="366"/>
    </row>
    <row r="17" spans="1:21" s="365" customFormat="1" ht="14.25" customHeight="1">
      <c r="A17" s="364"/>
      <c r="B17" s="364"/>
      <c r="C17" s="364"/>
      <c r="D17" s="394"/>
      <c r="E17" s="394"/>
      <c r="F17" s="394" t="s">
        <v>620</v>
      </c>
      <c r="G17" s="394"/>
      <c r="H17" s="397">
        <v>103756</v>
      </c>
      <c r="I17" s="399">
        <f>+(H17/H11)*100</f>
        <v>0.098480804785486</v>
      </c>
      <c r="J17" s="364"/>
      <c r="K17" s="364"/>
      <c r="L17" s="364"/>
      <c r="M17" s="394" t="s">
        <v>633</v>
      </c>
      <c r="N17" s="394"/>
      <c r="O17" s="394"/>
      <c r="P17" s="397">
        <v>10614887</v>
      </c>
      <c r="Q17" s="394"/>
      <c r="R17" s="409">
        <f t="shared" si="0"/>
        <v>7.889332952362073</v>
      </c>
      <c r="S17" s="366" t="s">
        <v>490</v>
      </c>
      <c r="T17" s="366"/>
      <c r="U17" s="366"/>
    </row>
    <row r="18" spans="1:21" s="365" customFormat="1" ht="15">
      <c r="A18" s="364"/>
      <c r="B18" s="364"/>
      <c r="C18" s="364"/>
      <c r="D18" s="394"/>
      <c r="E18" s="394" t="s">
        <v>621</v>
      </c>
      <c r="F18" s="394"/>
      <c r="G18" s="394"/>
      <c r="H18" s="397">
        <f>SUM(H19:H22)</f>
        <v>29190760</v>
      </c>
      <c r="I18" s="398">
        <f>SUM(I19:I22)</f>
        <v>100</v>
      </c>
      <c r="J18" s="364"/>
      <c r="K18" s="364"/>
      <c r="L18" s="364"/>
      <c r="M18" s="394" t="s">
        <v>634</v>
      </c>
      <c r="N18" s="394"/>
      <c r="O18" s="394"/>
      <c r="P18" s="397">
        <v>12842511</v>
      </c>
      <c r="Q18" s="394"/>
      <c r="R18" s="409">
        <f t="shared" si="0"/>
        <v>9.544976335911292</v>
      </c>
      <c r="S18" s="366" t="s">
        <v>491</v>
      </c>
      <c r="T18" s="366"/>
      <c r="U18" s="366"/>
    </row>
    <row r="19" spans="1:21" s="365" customFormat="1" ht="16.5" customHeight="1">
      <c r="A19" s="364"/>
      <c r="B19" s="364"/>
      <c r="C19" s="364"/>
      <c r="D19" s="394"/>
      <c r="E19" s="394"/>
      <c r="F19" s="394" t="s">
        <v>622</v>
      </c>
      <c r="G19" s="394"/>
      <c r="H19" s="397">
        <v>474218</v>
      </c>
      <c r="I19" s="399">
        <f>+(H19/H18)*100</f>
        <v>1.6245483159739589</v>
      </c>
      <c r="J19" s="364"/>
      <c r="K19" s="364"/>
      <c r="L19" s="364"/>
      <c r="M19" s="394" t="s">
        <v>635</v>
      </c>
      <c r="N19" s="394"/>
      <c r="O19" s="394"/>
      <c r="P19" s="397">
        <v>15794164</v>
      </c>
      <c r="Q19" s="394"/>
      <c r="R19" s="409">
        <f t="shared" si="0"/>
        <v>11.738741872637059</v>
      </c>
      <c r="S19" s="366" t="s">
        <v>492</v>
      </c>
      <c r="T19" s="366"/>
      <c r="U19" s="366"/>
    </row>
    <row r="20" spans="1:21" s="365" customFormat="1" ht="15">
      <c r="A20" s="364"/>
      <c r="B20" s="364"/>
      <c r="C20" s="364"/>
      <c r="D20" s="394"/>
      <c r="E20" s="394"/>
      <c r="F20" s="394" t="s">
        <v>623</v>
      </c>
      <c r="G20" s="394"/>
      <c r="H20" s="397">
        <v>1053422</v>
      </c>
      <c r="I20" s="399">
        <f>+(H20/H18)*100</f>
        <v>3.6087515364450944</v>
      </c>
      <c r="J20" s="364"/>
      <c r="K20" s="364"/>
      <c r="L20" s="364"/>
      <c r="M20" s="394" t="s">
        <v>636</v>
      </c>
      <c r="N20" s="394"/>
      <c r="O20" s="394"/>
      <c r="P20" s="397">
        <v>20823052</v>
      </c>
      <c r="Q20" s="394"/>
      <c r="R20" s="409">
        <f t="shared" si="0"/>
        <v>15.47637674450505</v>
      </c>
      <c r="S20" s="366" t="s">
        <v>485</v>
      </c>
      <c r="T20" s="366"/>
      <c r="U20" s="366"/>
    </row>
    <row r="21" spans="1:19" s="365" customFormat="1" ht="15">
      <c r="A21" s="364"/>
      <c r="B21" s="364"/>
      <c r="C21" s="364"/>
      <c r="D21" s="394"/>
      <c r="E21" s="394"/>
      <c r="F21" s="394" t="s">
        <v>624</v>
      </c>
      <c r="G21" s="394"/>
      <c r="H21" s="397">
        <v>8743371</v>
      </c>
      <c r="I21" s="399">
        <f>+(H21/H18)*100</f>
        <v>29.95252949906066</v>
      </c>
      <c r="J21" s="364"/>
      <c r="K21" s="364"/>
      <c r="L21" s="364"/>
      <c r="M21" s="394" t="s">
        <v>637</v>
      </c>
      <c r="N21" s="394"/>
      <c r="O21" s="394"/>
      <c r="P21" s="397">
        <v>43537708</v>
      </c>
      <c r="Q21" s="394"/>
      <c r="R21" s="409">
        <f t="shared" si="0"/>
        <v>32.358655762865666</v>
      </c>
      <c r="S21" s="365" t="s">
        <v>486</v>
      </c>
    </row>
    <row r="22" spans="1:19" s="365" customFormat="1" ht="21" customHeight="1">
      <c r="A22" s="364"/>
      <c r="B22" s="364"/>
      <c r="C22" s="367"/>
      <c r="D22" s="400"/>
      <c r="E22" s="400"/>
      <c r="F22" s="400" t="s">
        <v>625</v>
      </c>
      <c r="G22" s="400"/>
      <c r="H22" s="401">
        <v>18919749</v>
      </c>
      <c r="I22" s="402">
        <f>+(H22/H18)*100</f>
        <v>64.81417064852029</v>
      </c>
      <c r="J22" s="364"/>
      <c r="K22" s="364"/>
      <c r="L22" s="364"/>
      <c r="M22" s="394" t="s">
        <v>638</v>
      </c>
      <c r="N22" s="394"/>
      <c r="O22" s="394"/>
      <c r="P22" s="397">
        <v>0.401</v>
      </c>
      <c r="Q22" s="394"/>
      <c r="R22" s="396"/>
      <c r="S22" s="366"/>
    </row>
    <row r="23" spans="1:19" s="365" customFormat="1" ht="15" customHeight="1">
      <c r="A23" s="364"/>
      <c r="B23" s="364"/>
      <c r="C23" s="512" t="s">
        <v>627</v>
      </c>
      <c r="D23" s="512"/>
      <c r="E23" s="512"/>
      <c r="F23" s="512"/>
      <c r="G23" s="512"/>
      <c r="H23" s="512"/>
      <c r="I23" s="512"/>
      <c r="J23" s="364"/>
      <c r="K23" s="364"/>
      <c r="L23" s="364"/>
      <c r="M23" s="513" t="s">
        <v>627</v>
      </c>
      <c r="N23" s="513"/>
      <c r="O23" s="513"/>
      <c r="P23" s="513"/>
      <c r="Q23" s="513"/>
      <c r="R23" s="513"/>
      <c r="S23" s="366" t="s">
        <v>487</v>
      </c>
    </row>
    <row r="24" spans="1:19" s="365" customFormat="1" ht="15">
      <c r="A24" s="364"/>
      <c r="B24" s="364"/>
      <c r="C24" s="377"/>
      <c r="D24" s="377"/>
      <c r="E24" s="377"/>
      <c r="F24" s="377"/>
      <c r="G24" s="377"/>
      <c r="H24" s="377"/>
      <c r="I24" s="377"/>
      <c r="J24" s="364"/>
      <c r="K24" s="364"/>
      <c r="L24" s="364"/>
      <c r="S24" s="366" t="s">
        <v>488</v>
      </c>
    </row>
    <row r="25" spans="1:19" s="4" customFormat="1" ht="6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 s="8"/>
    </row>
    <row r="26" spans="1:19" s="4" customFormat="1" ht="16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 s="8"/>
    </row>
    <row r="27" spans="1:18" s="4" customFormat="1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s="4" customFormat="1" ht="3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s="4" customFormat="1" ht="30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s="4" customFormat="1" ht="16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s="4" customFormat="1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s="4" customFormat="1" ht="5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s="4" customFormat="1" ht="16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s="4" customFormat="1" ht="1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s="4" customFormat="1" ht="30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s="4" customFormat="1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s="4" customFormat="1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s="4" customFormat="1" ht="6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s="4" customFormat="1" ht="30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s="4" customFormat="1" ht="16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s="4" customFormat="1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s="4" customFormat="1" ht="5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s="4" customFormat="1" ht="16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s="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s="4" customFormat="1" ht="6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4" customFormat="1" ht="16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s="4" customFormat="1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s="4" customFormat="1" ht="6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s="4" customFormat="1" ht="16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s="4" customFormat="1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s="4" customFormat="1" ht="6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s="4" customFormat="1" ht="16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s="4" customFormat="1" ht="13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s="4" customFormat="1" ht="30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s="4" customFormat="1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s="4" customFormat="1" ht="15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s="4" customFormat="1" ht="6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s="4" customFormat="1" ht="16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s="4" customFormat="1" ht="13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s="4" customFormat="1" ht="6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s="4" customFormat="1" ht="16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s="4" customFormat="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s="4" customFormat="1" ht="6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s="4" customFormat="1" ht="16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s="4" customFormat="1" ht="13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s="10" customFormat="1" ht="20.25" customHeight="1">
      <c r="A66" s="2"/>
      <c r="B66" s="2"/>
      <c r="C66" s="2"/>
      <c r="D66" s="2"/>
      <c r="E66" s="2"/>
      <c r="F66" s="2"/>
      <c r="G66" s="38"/>
      <c r="H66" s="38"/>
      <c r="I66" s="38"/>
      <c r="J66" s="38"/>
      <c r="K66" s="38"/>
      <c r="L66" s="38"/>
      <c r="M66" s="33"/>
      <c r="N66" s="33"/>
      <c r="O66" s="33"/>
      <c r="P66" s="33"/>
      <c r="Q66" s="33"/>
      <c r="R66" s="56"/>
    </row>
    <row r="67" spans="1:22" s="4" customFormat="1" ht="9.75" customHeight="1">
      <c r="A67" s="10"/>
      <c r="B67" s="10"/>
      <c r="C67" s="10"/>
      <c r="D67" s="10"/>
      <c r="E67" s="10"/>
      <c r="F67" s="10"/>
      <c r="G67" s="52"/>
      <c r="H67" s="52"/>
      <c r="I67" s="52"/>
      <c r="J67" s="52"/>
      <c r="K67" s="52"/>
      <c r="L67" s="52"/>
      <c r="M67" s="53"/>
      <c r="N67" s="53"/>
      <c r="O67" s="53"/>
      <c r="P67" s="53"/>
      <c r="Q67" s="53"/>
      <c r="R67" s="53"/>
      <c r="S67" s="10"/>
      <c r="T67" s="10"/>
      <c r="U67" s="10"/>
      <c r="V67" s="10"/>
    </row>
    <row r="68" spans="1:22" s="36" customFormat="1" ht="15" customHeight="1">
      <c r="A68" s="106" t="s">
        <v>25</v>
      </c>
      <c r="B68" s="37"/>
      <c r="C68" s="37"/>
      <c r="D68" s="37"/>
      <c r="E68" s="37"/>
      <c r="F68" s="37"/>
      <c r="G68" s="34"/>
      <c r="H68" s="34"/>
      <c r="I68" s="34"/>
      <c r="J68" s="34"/>
      <c r="K68" s="34"/>
      <c r="L68" s="34"/>
      <c r="M68" s="35"/>
      <c r="N68" s="35"/>
      <c r="O68" s="35"/>
      <c r="P68" s="35"/>
      <c r="Q68" s="35"/>
      <c r="R68" s="35"/>
      <c r="S68" s="34"/>
      <c r="T68" s="35"/>
      <c r="U68" s="34"/>
      <c r="V68" s="54"/>
    </row>
    <row r="70" spans="1:18" ht="18">
      <c r="A70" s="514"/>
      <c r="B70" s="514"/>
      <c r="C70" s="514"/>
      <c r="D70" s="514"/>
      <c r="E70" s="514"/>
      <c r="F70" s="514"/>
      <c r="G70" s="514"/>
      <c r="H70" s="514"/>
      <c r="I70" s="514"/>
      <c r="J70" s="514"/>
      <c r="K70" s="514"/>
      <c r="L70" s="514"/>
      <c r="M70" s="514"/>
      <c r="N70" s="514"/>
      <c r="O70" s="514"/>
      <c r="P70" s="514"/>
      <c r="Q70" s="514"/>
      <c r="R70" s="514"/>
    </row>
  </sheetData>
  <sheetProtection/>
  <mergeCells count="10">
    <mergeCell ref="C23:I23"/>
    <mergeCell ref="M23:R23"/>
    <mergeCell ref="A70:R70"/>
    <mergeCell ref="A2:C2"/>
    <mergeCell ref="A3:F3"/>
    <mergeCell ref="C5:I5"/>
    <mergeCell ref="M5:R6"/>
    <mergeCell ref="C8:F9"/>
    <mergeCell ref="H8:I8"/>
    <mergeCell ref="P9:R9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scale="43" r:id="rId3"/>
  <headerFooter alignWithMargins="0">
    <oddHeader>&amp;C
</oddHeader>
  </headerFooter>
  <drawing r:id="rId1"/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tabColor rgb="FF00B050"/>
  </sheetPr>
  <dimension ref="A1:M67"/>
  <sheetViews>
    <sheetView showGridLines="0" zoomScaleSheetLayoutView="55" zoomScalePageLayoutView="0" workbookViewId="0" topLeftCell="A37">
      <selection activeCell="F15" sqref="F15"/>
    </sheetView>
  </sheetViews>
  <sheetFormatPr defaultColWidth="9.77734375" defaultRowHeight="15.75"/>
  <cols>
    <col min="1" max="1" width="0.88671875" style="1" customWidth="1"/>
    <col min="2" max="2" width="45.77734375" style="1" customWidth="1"/>
    <col min="3" max="3" width="11.77734375" style="1" customWidth="1"/>
    <col min="4" max="4" width="10.77734375" style="1" customWidth="1"/>
    <col min="5" max="6" width="8.77734375" style="1" customWidth="1"/>
    <col min="7" max="7" width="45.77734375" style="1" customWidth="1"/>
    <col min="8" max="8" width="11.77734375" style="1" customWidth="1"/>
    <col min="9" max="9" width="10.77734375" style="1" customWidth="1"/>
    <col min="10" max="12" width="9.77734375" style="1" customWidth="1"/>
    <col min="13" max="13" width="12.77734375" style="1" customWidth="1"/>
    <col min="14" max="14" width="10.10546875" style="1" bestFit="1" customWidth="1"/>
    <col min="15" max="20" width="9.77734375" style="1" customWidth="1"/>
    <col min="21" max="22" width="5.77734375" style="1" customWidth="1"/>
    <col min="23" max="25" width="9.77734375" style="1" customWidth="1"/>
    <col min="26" max="26" width="12.77734375" style="1" customWidth="1"/>
    <col min="27" max="16384" width="9.77734375" style="1" customWidth="1"/>
  </cols>
  <sheetData>
    <row r="1" spans="2:9" ht="15.75">
      <c r="B1" s="170" t="s">
        <v>484</v>
      </c>
      <c r="C1" s="129"/>
      <c r="D1" s="129"/>
      <c r="E1" s="129"/>
      <c r="F1" s="129"/>
      <c r="G1" s="129"/>
      <c r="H1" s="129"/>
      <c r="I1" s="209" t="s">
        <v>440</v>
      </c>
    </row>
    <row r="2" spans="2:9" ht="24" customHeight="1">
      <c r="B2" s="130">
        <v>2010</v>
      </c>
      <c r="C2" s="129"/>
      <c r="D2" s="129"/>
      <c r="E2" s="129"/>
      <c r="F2" s="129"/>
      <c r="G2" s="129"/>
      <c r="H2" s="129"/>
      <c r="I2" s="129"/>
    </row>
    <row r="3" spans="1:9" ht="15" customHeight="1">
      <c r="A3" s="503"/>
      <c r="B3" s="503"/>
      <c r="C3" s="29"/>
      <c r="D3" s="29"/>
      <c r="E3" s="29"/>
      <c r="F3" s="29"/>
      <c r="G3" s="29"/>
      <c r="H3" s="29"/>
      <c r="I3" s="29"/>
    </row>
    <row r="4" spans="1:9" ht="15" customHeight="1">
      <c r="A4" s="55"/>
      <c r="B4" s="55"/>
      <c r="C4" s="55"/>
      <c r="D4" s="55"/>
      <c r="E4" s="55"/>
      <c r="F4" s="55"/>
      <c r="G4" s="380"/>
      <c r="H4" s="380"/>
      <c r="I4" s="380"/>
    </row>
    <row r="5" spans="1:9" ht="15.75" customHeight="1">
      <c r="A5"/>
      <c r="B5" s="428" t="s">
        <v>640</v>
      </c>
      <c r="C5" s="368"/>
      <c r="D5" s="368"/>
      <c r="E5"/>
      <c r="F5"/>
      <c r="G5" s="389" t="s">
        <v>654</v>
      </c>
      <c r="H5" s="388"/>
      <c r="I5" s="388"/>
    </row>
    <row r="6" spans="1:9" ht="15">
      <c r="A6"/>
      <c r="B6" s="368" t="s">
        <v>31</v>
      </c>
      <c r="C6" s="368"/>
      <c r="D6" s="368"/>
      <c r="E6"/>
      <c r="F6"/>
      <c r="G6" s="368" t="s">
        <v>31</v>
      </c>
      <c r="H6" s="388"/>
      <c r="I6" s="388"/>
    </row>
    <row r="7" spans="1:10" ht="15">
      <c r="A7"/>
      <c r="B7" s="368"/>
      <c r="C7" s="368"/>
      <c r="D7" s="368"/>
      <c r="E7"/>
      <c r="F7"/>
      <c r="G7" s="433"/>
      <c r="H7" s="434"/>
      <c r="I7" s="434"/>
      <c r="J7" s="435"/>
    </row>
    <row r="8" spans="1:10" s="4" customFormat="1" ht="34.5" customHeight="1">
      <c r="A8"/>
      <c r="B8" s="430" t="s">
        <v>641</v>
      </c>
      <c r="C8" s="431" t="s">
        <v>655</v>
      </c>
      <c r="D8" s="431" t="s">
        <v>659</v>
      </c>
      <c r="E8"/>
      <c r="F8"/>
      <c r="G8" s="436" t="s">
        <v>663</v>
      </c>
      <c r="H8" s="431" t="s">
        <v>655</v>
      </c>
      <c r="I8" s="431" t="s">
        <v>659</v>
      </c>
      <c r="J8" s="10"/>
    </row>
    <row r="9" spans="1:10" s="4" customFormat="1" ht="4.5" customHeight="1">
      <c r="A9"/>
      <c r="B9" s="429"/>
      <c r="E9"/>
      <c r="F9"/>
      <c r="G9" s="432"/>
      <c r="H9" s="438"/>
      <c r="I9" s="438"/>
      <c r="J9" s="10"/>
    </row>
    <row r="10" spans="1:10" s="4" customFormat="1" ht="19.5" customHeight="1">
      <c r="A10"/>
      <c r="B10" s="416" t="s">
        <v>642</v>
      </c>
      <c r="C10" s="418">
        <f>SUM(C21+C11)</f>
        <v>126519615</v>
      </c>
      <c r="D10" s="383"/>
      <c r="E10"/>
      <c r="F10"/>
      <c r="G10" s="446" t="s">
        <v>614</v>
      </c>
      <c r="H10" s="447">
        <f>SUM(H11:H20)</f>
        <v>97328856</v>
      </c>
      <c r="I10" s="450">
        <f>SUM(I11:I20)</f>
        <v>100</v>
      </c>
      <c r="J10" s="10"/>
    </row>
    <row r="11" spans="1:10" s="4" customFormat="1" ht="19.5" customHeight="1">
      <c r="A11"/>
      <c r="B11" s="422" t="s">
        <v>664</v>
      </c>
      <c r="C11" s="418">
        <f>SUM(C12:C20)</f>
        <v>97328855</v>
      </c>
      <c r="D11" s="419">
        <f>SUM(D12:D20)</f>
        <v>100.00000000000001</v>
      </c>
      <c r="E11"/>
      <c r="F11"/>
      <c r="G11" s="444" t="s">
        <v>628</v>
      </c>
      <c r="H11" s="448">
        <v>3647886</v>
      </c>
      <c r="I11" s="451">
        <f aca="true" t="shared" si="0" ref="I11:I20">+(H11/$H$10)*100</f>
        <v>3.7480004902143307</v>
      </c>
      <c r="J11" s="10"/>
    </row>
    <row r="12" spans="1:12" s="4" customFormat="1" ht="18" customHeight="1">
      <c r="A12"/>
      <c r="B12" s="437" t="s">
        <v>644</v>
      </c>
      <c r="C12" s="420">
        <v>33900198</v>
      </c>
      <c r="D12" s="421">
        <f>+(C12/$C$11)*100</f>
        <v>34.83057311215672</v>
      </c>
      <c r="E12"/>
      <c r="F12"/>
      <c r="G12" s="444" t="s">
        <v>629</v>
      </c>
      <c r="H12" s="448">
        <v>4849930</v>
      </c>
      <c r="I12" s="451">
        <f t="shared" si="0"/>
        <v>4.983034014085195</v>
      </c>
      <c r="J12" s="2"/>
      <c r="K12" s="8"/>
      <c r="L12" s="8"/>
    </row>
    <row r="13" spans="1:12" s="4" customFormat="1" ht="18" customHeight="1">
      <c r="A13"/>
      <c r="B13" s="437" t="s">
        <v>645</v>
      </c>
      <c r="C13" s="420">
        <v>5553513</v>
      </c>
      <c r="D13" s="421">
        <f aca="true" t="shared" si="1" ref="D13:D20">+(C13/$C$11)*100</f>
        <v>5.7059265723407515</v>
      </c>
      <c r="E13"/>
      <c r="F13"/>
      <c r="G13" s="444" t="s">
        <v>630</v>
      </c>
      <c r="H13" s="448">
        <v>5435040</v>
      </c>
      <c r="I13" s="451">
        <f t="shared" si="0"/>
        <v>5.584202078775076</v>
      </c>
      <c r="J13" s="2"/>
      <c r="K13" s="8"/>
      <c r="L13" s="8"/>
    </row>
    <row r="14" spans="1:12" s="4" customFormat="1" ht="30.75" customHeight="1">
      <c r="A14"/>
      <c r="B14" s="437" t="s">
        <v>674</v>
      </c>
      <c r="C14" s="420">
        <v>8644293</v>
      </c>
      <c r="D14" s="421">
        <f t="shared" si="1"/>
        <v>8.881531586907089</v>
      </c>
      <c r="E14"/>
      <c r="F14"/>
      <c r="G14" s="444" t="s">
        <v>631</v>
      </c>
      <c r="H14" s="448">
        <v>5963773</v>
      </c>
      <c r="I14" s="451">
        <f t="shared" si="0"/>
        <v>6.127445903607456</v>
      </c>
      <c r="J14" s="2"/>
      <c r="K14" s="8"/>
      <c r="L14" s="8"/>
    </row>
    <row r="15" spans="1:12" s="4" customFormat="1" ht="45" customHeight="1">
      <c r="A15"/>
      <c r="B15" s="437" t="s">
        <v>675</v>
      </c>
      <c r="C15" s="420">
        <v>5392492</v>
      </c>
      <c r="D15" s="421">
        <f t="shared" si="1"/>
        <v>5.540486426147724</v>
      </c>
      <c r="E15"/>
      <c r="F15"/>
      <c r="G15" s="444" t="s">
        <v>632</v>
      </c>
      <c r="H15" s="448">
        <v>6961082</v>
      </c>
      <c r="I15" s="451">
        <f t="shared" si="0"/>
        <v>7.15212557311883</v>
      </c>
      <c r="J15" s="2"/>
      <c r="K15" s="8"/>
      <c r="L15" s="8"/>
    </row>
    <row r="16" spans="1:12" s="4" customFormat="1" ht="22.5" customHeight="1">
      <c r="A16"/>
      <c r="B16" s="437" t="s">
        <v>648</v>
      </c>
      <c r="C16" s="420">
        <v>2323780</v>
      </c>
      <c r="D16" s="421">
        <f t="shared" si="1"/>
        <v>2.3875550575417743</v>
      </c>
      <c r="E16"/>
      <c r="F16"/>
      <c r="G16" s="444" t="s">
        <v>633</v>
      </c>
      <c r="H16" s="448">
        <v>8391282</v>
      </c>
      <c r="I16" s="451">
        <f t="shared" si="0"/>
        <v>8.621576729515859</v>
      </c>
      <c r="J16" s="2"/>
      <c r="K16" s="8"/>
      <c r="L16" s="8"/>
    </row>
    <row r="17" spans="1:12" s="4" customFormat="1" ht="38.25" customHeight="1">
      <c r="A17"/>
      <c r="B17" s="437" t="s">
        <v>676</v>
      </c>
      <c r="C17" s="420">
        <v>18060308</v>
      </c>
      <c r="D17" s="421">
        <f t="shared" si="1"/>
        <v>18.555964723924884</v>
      </c>
      <c r="E17"/>
      <c r="F17"/>
      <c r="G17" s="444" t="s">
        <v>634</v>
      </c>
      <c r="H17" s="448">
        <v>9482706</v>
      </c>
      <c r="I17" s="451">
        <f t="shared" si="0"/>
        <v>9.742954340283214</v>
      </c>
      <c r="J17" s="2"/>
      <c r="K17" s="8"/>
      <c r="L17" s="8"/>
    </row>
    <row r="18" spans="1:12" s="4" customFormat="1" ht="38.25" customHeight="1">
      <c r="A18"/>
      <c r="B18" s="437" t="s">
        <v>673</v>
      </c>
      <c r="C18" s="420">
        <v>14185533</v>
      </c>
      <c r="D18" s="421">
        <f t="shared" si="1"/>
        <v>14.574848332490914</v>
      </c>
      <c r="E18"/>
      <c r="F18"/>
      <c r="G18" s="444" t="s">
        <v>635</v>
      </c>
      <c r="H18" s="448">
        <v>11122140</v>
      </c>
      <c r="I18" s="451">
        <f t="shared" si="0"/>
        <v>11.427381823947464</v>
      </c>
      <c r="J18" s="2"/>
      <c r="K18" s="8"/>
      <c r="L18" s="8"/>
    </row>
    <row r="19" spans="1:12" s="4" customFormat="1" ht="24.75">
      <c r="A19"/>
      <c r="B19" s="437" t="s">
        <v>651</v>
      </c>
      <c r="C19" s="420">
        <v>6723009</v>
      </c>
      <c r="D19" s="421">
        <f t="shared" si="1"/>
        <v>6.907518844231754</v>
      </c>
      <c r="E19"/>
      <c r="F19"/>
      <c r="G19" s="444" t="s">
        <v>636</v>
      </c>
      <c r="H19" s="448">
        <v>13838225</v>
      </c>
      <c r="I19" s="451">
        <f t="shared" si="0"/>
        <v>14.218008480444894</v>
      </c>
      <c r="J19" s="2"/>
      <c r="K19" s="8"/>
      <c r="L19" s="8"/>
    </row>
    <row r="20" spans="1:12" s="4" customFormat="1" ht="18" customHeight="1">
      <c r="A20"/>
      <c r="B20" s="437" t="s">
        <v>652</v>
      </c>
      <c r="C20" s="420">
        <v>2545729</v>
      </c>
      <c r="D20" s="421">
        <f t="shared" si="1"/>
        <v>2.615595344258391</v>
      </c>
      <c r="E20"/>
      <c r="F20"/>
      <c r="G20" s="445" t="s">
        <v>637</v>
      </c>
      <c r="H20" s="449">
        <v>27636792</v>
      </c>
      <c r="I20" s="452">
        <f t="shared" si="0"/>
        <v>28.39527056600768</v>
      </c>
      <c r="J20" s="2"/>
      <c r="K20" s="8"/>
      <c r="L20" s="8"/>
    </row>
    <row r="21" spans="1:12" s="4" customFormat="1" ht="19.5" customHeight="1">
      <c r="A21"/>
      <c r="B21" s="422" t="s">
        <v>665</v>
      </c>
      <c r="C21" s="418">
        <f>SUM(C22:C25)</f>
        <v>29190760</v>
      </c>
      <c r="D21" s="419">
        <f>SUM(D22:D25)</f>
        <v>100</v>
      </c>
      <c r="E21"/>
      <c r="F21"/>
      <c r="G21" s="520" t="s">
        <v>667</v>
      </c>
      <c r="H21" s="520"/>
      <c r="I21" s="520"/>
      <c r="J21" s="8"/>
      <c r="K21" s="8"/>
      <c r="L21" s="8"/>
    </row>
    <row r="22" spans="1:12" s="4" customFormat="1" ht="18" customHeight="1">
      <c r="A22"/>
      <c r="B22" s="437" t="s">
        <v>622</v>
      </c>
      <c r="C22" s="420">
        <v>474218</v>
      </c>
      <c r="D22" s="421">
        <f>+(C22/$C$21)*100</f>
        <v>1.6245483159739589</v>
      </c>
      <c r="E22"/>
      <c r="F22"/>
      <c r="G22" s="520"/>
      <c r="H22" s="520"/>
      <c r="I22" s="520"/>
      <c r="J22" s="8"/>
      <c r="K22" s="8"/>
      <c r="L22" s="8"/>
    </row>
    <row r="23" spans="1:9" s="4" customFormat="1" ht="18" customHeight="1">
      <c r="A23"/>
      <c r="B23" s="437" t="s">
        <v>623</v>
      </c>
      <c r="C23" s="420">
        <v>1053422</v>
      </c>
      <c r="D23" s="421">
        <f>+(C23/$C$21)*100</f>
        <v>3.6087515364450944</v>
      </c>
      <c r="E23"/>
      <c r="F23"/>
      <c r="G23" s="381"/>
      <c r="H23" s="381"/>
      <c r="I23" s="381"/>
    </row>
    <row r="24" spans="1:10" s="4" customFormat="1" ht="18" customHeight="1">
      <c r="A24"/>
      <c r="B24" s="437" t="s">
        <v>624</v>
      </c>
      <c r="C24" s="420">
        <v>8743371</v>
      </c>
      <c r="D24" s="421">
        <f>+(C24/$C$21)*100</f>
        <v>29.95252949906066</v>
      </c>
      <c r="E24"/>
      <c r="F24"/>
      <c r="G24" s="381"/>
      <c r="H24" s="381"/>
      <c r="I24" s="381"/>
      <c r="J24" s="8"/>
    </row>
    <row r="25" spans="1:10" s="4" customFormat="1" ht="18" customHeight="1">
      <c r="A25"/>
      <c r="B25" s="437" t="s">
        <v>625</v>
      </c>
      <c r="C25" s="420">
        <v>18919749</v>
      </c>
      <c r="D25" s="421">
        <f>+(C25/$C$21)*100</f>
        <v>64.81417064852029</v>
      </c>
      <c r="E25"/>
      <c r="F25"/>
      <c r="G25" s="381"/>
      <c r="H25" s="381"/>
      <c r="I25" s="381"/>
      <c r="J25" s="8"/>
    </row>
    <row r="26" spans="1:10" s="4" customFormat="1" ht="4.5" customHeight="1">
      <c r="A26"/>
      <c r="B26" s="437"/>
      <c r="C26" s="420"/>
      <c r="D26" s="385"/>
      <c r="E26"/>
      <c r="F26"/>
      <c r="G26" s="381"/>
      <c r="H26" s="381"/>
      <c r="I26" s="381"/>
      <c r="J26" s="8"/>
    </row>
    <row r="27" spans="1:10" s="4" customFormat="1" ht="25.5" customHeight="1">
      <c r="A27"/>
      <c r="B27" s="513" t="s">
        <v>667</v>
      </c>
      <c r="C27" s="513"/>
      <c r="D27" s="513"/>
      <c r="E27"/>
      <c r="F27"/>
      <c r="G27" s="381"/>
      <c r="H27" s="381"/>
      <c r="I27" s="381"/>
      <c r="J27" s="8"/>
    </row>
    <row r="28" spans="1:10" s="4" customFormat="1" ht="25.5" customHeight="1">
      <c r="A28"/>
      <c r="B28" s="415"/>
      <c r="C28" s="415"/>
      <c r="D28" s="415"/>
      <c r="E28"/>
      <c r="F28"/>
      <c r="G28" s="381"/>
      <c r="H28" s="381"/>
      <c r="I28" s="381"/>
      <c r="J28" s="8"/>
    </row>
    <row r="29" spans="1:9" s="4" customFormat="1" ht="15" customHeight="1">
      <c r="A29"/>
      <c r="B29"/>
      <c r="C29"/>
      <c r="D29"/>
      <c r="E29"/>
      <c r="F29"/>
      <c r="G29" s="381"/>
      <c r="H29" s="381"/>
      <c r="I29" s="381"/>
    </row>
    <row r="30" spans="1:9" s="10" customFormat="1" ht="15" customHeight="1">
      <c r="A30"/>
      <c r="B30"/>
      <c r="C30"/>
      <c r="D30"/>
      <c r="E30"/>
      <c r="F30"/>
      <c r="G30" s="381"/>
      <c r="H30" s="381"/>
      <c r="I30" s="381"/>
    </row>
    <row r="31" spans="1:10" s="4" customFormat="1" ht="15" customHeight="1">
      <c r="A31"/>
      <c r="B31"/>
      <c r="C31"/>
      <c r="D31"/>
      <c r="E31"/>
      <c r="F31"/>
      <c r="G31"/>
      <c r="H31"/>
      <c r="I31"/>
      <c r="J31" s="8"/>
    </row>
    <row r="32" spans="1:10" s="4" customFormat="1" ht="15" customHeight="1">
      <c r="A32"/>
      <c r="B32"/>
      <c r="C32"/>
      <c r="D32"/>
      <c r="E32"/>
      <c r="F32"/>
      <c r="G32"/>
      <c r="H32"/>
      <c r="I32"/>
      <c r="J32" s="8"/>
    </row>
    <row r="33" spans="1:10" s="4" customFormat="1" ht="15" customHeight="1">
      <c r="A33"/>
      <c r="B33"/>
      <c r="C33"/>
      <c r="D33"/>
      <c r="E33"/>
      <c r="F33"/>
      <c r="G33"/>
      <c r="H33"/>
      <c r="I33"/>
      <c r="J33" s="443"/>
    </row>
    <row r="34" spans="1:9" s="4" customFormat="1" ht="15" customHeight="1">
      <c r="A34"/>
      <c r="B34"/>
      <c r="C34"/>
      <c r="D34"/>
      <c r="E34"/>
      <c r="F34"/>
      <c r="G34"/>
      <c r="H34"/>
      <c r="I34"/>
    </row>
    <row r="35" spans="1:9" s="4" customFormat="1" ht="15" customHeight="1">
      <c r="A35"/>
      <c r="B35"/>
      <c r="C35"/>
      <c r="D35"/>
      <c r="E35"/>
      <c r="F35"/>
      <c r="G35"/>
      <c r="H35"/>
      <c r="I35"/>
    </row>
    <row r="36" spans="1:9" s="4" customFormat="1" ht="15" customHeight="1">
      <c r="A36"/>
      <c r="B36"/>
      <c r="C36"/>
      <c r="D36"/>
      <c r="E36"/>
      <c r="F36"/>
      <c r="G36"/>
      <c r="H36"/>
      <c r="I36"/>
    </row>
    <row r="37" spans="1:9" s="4" customFormat="1" ht="15" customHeight="1">
      <c r="A37"/>
      <c r="B37"/>
      <c r="C37"/>
      <c r="D37"/>
      <c r="E37"/>
      <c r="F37"/>
      <c r="G37"/>
      <c r="H37"/>
      <c r="I37"/>
    </row>
    <row r="38" spans="1:9" s="4" customFormat="1" ht="15" customHeight="1">
      <c r="A38"/>
      <c r="B38"/>
      <c r="C38"/>
      <c r="D38"/>
      <c r="E38"/>
      <c r="F38"/>
      <c r="G38"/>
      <c r="H38"/>
      <c r="I38"/>
    </row>
    <row r="39" spans="1:9" s="4" customFormat="1" ht="15" customHeight="1">
      <c r="A39"/>
      <c r="B39"/>
      <c r="C39"/>
      <c r="D39"/>
      <c r="E39"/>
      <c r="F39"/>
      <c r="G39"/>
      <c r="H39"/>
      <c r="I39"/>
    </row>
    <row r="40" spans="1:9" s="4" customFormat="1" ht="15" customHeight="1">
      <c r="A40"/>
      <c r="B40"/>
      <c r="C40"/>
      <c r="D40"/>
      <c r="E40"/>
      <c r="F40"/>
      <c r="G40"/>
      <c r="H40"/>
      <c r="I40"/>
    </row>
    <row r="41" spans="1:9" s="4" customFormat="1" ht="15" customHeight="1">
      <c r="A41"/>
      <c r="B41"/>
      <c r="C41"/>
      <c r="D41"/>
      <c r="E41"/>
      <c r="F41"/>
      <c r="G41"/>
      <c r="H41"/>
      <c r="I41"/>
    </row>
    <row r="42" spans="1:9" s="4" customFormat="1" ht="15" customHeight="1">
      <c r="A42"/>
      <c r="B42"/>
      <c r="C42"/>
      <c r="D42"/>
      <c r="E42"/>
      <c r="F42"/>
      <c r="G42"/>
      <c r="H42"/>
      <c r="I42"/>
    </row>
    <row r="43" spans="1:9" s="4" customFormat="1" ht="15" customHeight="1">
      <c r="A43"/>
      <c r="B43"/>
      <c r="C43"/>
      <c r="D43"/>
      <c r="E43"/>
      <c r="F43"/>
      <c r="G43"/>
      <c r="H43"/>
      <c r="I43"/>
    </row>
    <row r="44" spans="1:9" s="4" customFormat="1" ht="15" customHeight="1">
      <c r="A44"/>
      <c r="B44"/>
      <c r="C44"/>
      <c r="D44"/>
      <c r="E44"/>
      <c r="F44"/>
      <c r="G44"/>
      <c r="H44"/>
      <c r="I44"/>
    </row>
    <row r="45" spans="1:9" s="4" customFormat="1" ht="15" customHeight="1">
      <c r="A45"/>
      <c r="B45"/>
      <c r="C45"/>
      <c r="D45"/>
      <c r="E45"/>
      <c r="F45"/>
      <c r="G45"/>
      <c r="H45"/>
      <c r="I45"/>
    </row>
    <row r="46" spans="1:9" s="4" customFormat="1" ht="15" customHeight="1">
      <c r="A46"/>
      <c r="B46"/>
      <c r="C46"/>
      <c r="D46"/>
      <c r="E46"/>
      <c r="F46"/>
      <c r="G46"/>
      <c r="H46"/>
      <c r="I46"/>
    </row>
    <row r="47" spans="1:9" s="4" customFormat="1" ht="15" customHeight="1">
      <c r="A47"/>
      <c r="B47"/>
      <c r="C47"/>
      <c r="D47"/>
      <c r="E47"/>
      <c r="F47"/>
      <c r="G47"/>
      <c r="H47"/>
      <c r="I47"/>
    </row>
    <row r="48" spans="1:9" s="4" customFormat="1" ht="15" customHeight="1">
      <c r="A48"/>
      <c r="B48"/>
      <c r="C48"/>
      <c r="D48"/>
      <c r="E48"/>
      <c r="F48"/>
      <c r="G48"/>
      <c r="H48"/>
      <c r="I48"/>
    </row>
    <row r="49" spans="1:9" s="4" customFormat="1" ht="15" customHeight="1">
      <c r="A49"/>
      <c r="B49"/>
      <c r="C49"/>
      <c r="D49"/>
      <c r="E49"/>
      <c r="F49"/>
      <c r="G49"/>
      <c r="H49"/>
      <c r="I49"/>
    </row>
    <row r="50" spans="1:9" s="4" customFormat="1" ht="15" customHeight="1">
      <c r="A50"/>
      <c r="B50"/>
      <c r="C50"/>
      <c r="D50"/>
      <c r="E50"/>
      <c r="F50"/>
      <c r="G50"/>
      <c r="H50"/>
      <c r="I50"/>
    </row>
    <row r="51" spans="1:9" s="4" customFormat="1" ht="15" customHeight="1">
      <c r="A51"/>
      <c r="B51"/>
      <c r="C51"/>
      <c r="D51"/>
      <c r="E51"/>
      <c r="F51"/>
      <c r="G51"/>
      <c r="H51"/>
      <c r="I51"/>
    </row>
    <row r="52" spans="1:9" s="4" customFormat="1" ht="15" customHeight="1">
      <c r="A52"/>
      <c r="B52"/>
      <c r="C52"/>
      <c r="D52"/>
      <c r="E52"/>
      <c r="F52"/>
      <c r="G52"/>
      <c r="H52"/>
      <c r="I52"/>
    </row>
    <row r="53" spans="1:9" s="4" customFormat="1" ht="15" customHeight="1">
      <c r="A53"/>
      <c r="B53"/>
      <c r="C53"/>
      <c r="D53"/>
      <c r="E53"/>
      <c r="F53"/>
      <c r="G53"/>
      <c r="H53"/>
      <c r="I53"/>
    </row>
    <row r="54" spans="1:9" s="4" customFormat="1" ht="15" customHeight="1">
      <c r="A54"/>
      <c r="B54"/>
      <c r="C54"/>
      <c r="D54"/>
      <c r="E54"/>
      <c r="F54"/>
      <c r="G54"/>
      <c r="H54"/>
      <c r="I54"/>
    </row>
    <row r="55" spans="1:9" s="4" customFormat="1" ht="15" customHeight="1">
      <c r="A55"/>
      <c r="B55"/>
      <c r="C55"/>
      <c r="D55"/>
      <c r="E55"/>
      <c r="F55"/>
      <c r="G55"/>
      <c r="H55"/>
      <c r="I55"/>
    </row>
    <row r="56" spans="1:9" s="4" customFormat="1" ht="15" customHeight="1">
      <c r="A56"/>
      <c r="B56"/>
      <c r="C56"/>
      <c r="D56"/>
      <c r="E56"/>
      <c r="F56"/>
      <c r="G56"/>
      <c r="H56"/>
      <c r="I56"/>
    </row>
    <row r="57" spans="1:9" s="4" customFormat="1" ht="15" customHeight="1">
      <c r="A57"/>
      <c r="B57"/>
      <c r="C57"/>
      <c r="D57"/>
      <c r="E57"/>
      <c r="F57"/>
      <c r="G57"/>
      <c r="H57"/>
      <c r="I57"/>
    </row>
    <row r="58" spans="1:9" s="4" customFormat="1" ht="15" customHeight="1">
      <c r="A58"/>
      <c r="B58"/>
      <c r="C58"/>
      <c r="D58"/>
      <c r="E58"/>
      <c r="F58"/>
      <c r="G58"/>
      <c r="H58"/>
      <c r="I58"/>
    </row>
    <row r="59" spans="1:9" s="4" customFormat="1" ht="15" customHeight="1">
      <c r="A59"/>
      <c r="B59"/>
      <c r="C59"/>
      <c r="D59"/>
      <c r="E59"/>
      <c r="F59"/>
      <c r="G59"/>
      <c r="H59"/>
      <c r="I59"/>
    </row>
    <row r="60" spans="1:9" s="4" customFormat="1" ht="15" customHeight="1">
      <c r="A60"/>
      <c r="B60"/>
      <c r="C60"/>
      <c r="D60"/>
      <c r="E60"/>
      <c r="F60"/>
      <c r="G60"/>
      <c r="H60"/>
      <c r="I60"/>
    </row>
    <row r="61" spans="1:9" s="4" customFormat="1" ht="15" customHeight="1">
      <c r="A61"/>
      <c r="B61"/>
      <c r="C61"/>
      <c r="D61"/>
      <c r="E61"/>
      <c r="F61"/>
      <c r="G61"/>
      <c r="H61"/>
      <c r="I61"/>
    </row>
    <row r="62" spans="1:9" s="4" customFormat="1" ht="15" customHeight="1">
      <c r="A62"/>
      <c r="B62"/>
      <c r="C62"/>
      <c r="D62"/>
      <c r="E62"/>
      <c r="F62"/>
      <c r="G62"/>
      <c r="H62"/>
      <c r="I62"/>
    </row>
    <row r="63" spans="1:9" s="10" customFormat="1" ht="15" customHeight="1">
      <c r="A63" s="2"/>
      <c r="B63" s="2"/>
      <c r="C63" s="38"/>
      <c r="D63" s="38"/>
      <c r="E63" s="38"/>
      <c r="F63" s="38"/>
      <c r="G63" s="33"/>
      <c r="H63" s="33"/>
      <c r="I63" s="56"/>
    </row>
    <row r="64" spans="1:13" s="4" customFormat="1" ht="15" customHeight="1">
      <c r="A64" s="51"/>
      <c r="B64" s="51"/>
      <c r="C64" s="390"/>
      <c r="D64" s="390"/>
      <c r="E64" s="390"/>
      <c r="F64" s="390"/>
      <c r="G64" s="391"/>
      <c r="H64" s="391"/>
      <c r="I64" s="391"/>
      <c r="J64" s="10"/>
      <c r="K64" s="10"/>
      <c r="L64" s="10"/>
      <c r="M64" s="10"/>
    </row>
    <row r="65" spans="1:13" s="230" customFormat="1" ht="15" customHeight="1">
      <c r="A65" s="82"/>
      <c r="B65" s="439" t="s">
        <v>666</v>
      </c>
      <c r="C65" s="227"/>
      <c r="D65" s="227"/>
      <c r="E65" s="227"/>
      <c r="F65" s="227"/>
      <c r="G65" s="228"/>
      <c r="H65" s="228"/>
      <c r="I65" s="228"/>
      <c r="J65" s="227"/>
      <c r="K65" s="228"/>
      <c r="L65" s="227"/>
      <c r="M65" s="229"/>
    </row>
    <row r="67" spans="1:9" ht="18">
      <c r="A67" s="426"/>
      <c r="B67" s="426"/>
      <c r="C67" s="426"/>
      <c r="D67" s="426"/>
      <c r="E67" s="426"/>
      <c r="F67" s="426"/>
      <c r="G67" s="426"/>
      <c r="H67" s="426"/>
      <c r="I67" s="426"/>
    </row>
  </sheetData>
  <sheetProtection/>
  <mergeCells count="3">
    <mergeCell ref="G21:I22"/>
    <mergeCell ref="B27:D27"/>
    <mergeCell ref="A3:B3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scale="55" r:id="rId3"/>
  <headerFooter alignWithMargins="0">
    <oddHeader>&amp;C
</oddHeader>
  </headerFooter>
  <drawing r:id="rId1"/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tabColor theme="9" tint="-0.24997000396251678"/>
  </sheetPr>
  <dimension ref="A1:V67"/>
  <sheetViews>
    <sheetView showGridLines="0" zoomScaleSheetLayoutView="55" zoomScalePageLayoutView="0" workbookViewId="0" topLeftCell="A1">
      <selection activeCell="C7" sqref="C7:F8"/>
    </sheetView>
  </sheetViews>
  <sheetFormatPr defaultColWidth="9.77734375" defaultRowHeight="15.75"/>
  <cols>
    <col min="1" max="5" width="2.77734375" style="1" customWidth="1"/>
    <col min="6" max="6" width="46.77734375" style="1" customWidth="1"/>
    <col min="7" max="7" width="21.21484375" style="1" customWidth="1"/>
    <col min="8" max="8" width="12.6640625" style="1" customWidth="1"/>
    <col min="9" max="9" width="10.21484375" style="1" customWidth="1"/>
    <col min="10" max="10" width="11.77734375" style="1" customWidth="1"/>
    <col min="11" max="11" width="3.3359375" style="1" customWidth="1"/>
    <col min="12" max="12" width="1.88671875" style="1" customWidth="1"/>
    <col min="13" max="15" width="11.77734375" style="1" customWidth="1"/>
    <col min="16" max="16" width="13.4453125" style="1" customWidth="1"/>
    <col min="17" max="17" width="8.10546875" style="1" customWidth="1"/>
    <col min="18" max="18" width="8.99609375" style="1" customWidth="1"/>
    <col min="19" max="21" width="9.77734375" style="1" customWidth="1"/>
    <col min="22" max="22" width="12.77734375" style="1" customWidth="1"/>
    <col min="23" max="23" width="10.10546875" style="1" bestFit="1" customWidth="1"/>
    <col min="24" max="29" width="9.77734375" style="1" customWidth="1"/>
    <col min="30" max="31" width="5.77734375" style="1" customWidth="1"/>
    <col min="32" max="34" width="9.77734375" style="1" customWidth="1"/>
    <col min="35" max="35" width="12.77734375" style="1" customWidth="1"/>
    <col min="36" max="16384" width="9.77734375" style="1" customWidth="1"/>
  </cols>
  <sheetData>
    <row r="1" spans="1:18" ht="15.75">
      <c r="A1" s="170" t="s">
        <v>484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209" t="s">
        <v>440</v>
      </c>
    </row>
    <row r="2" spans="1:18" ht="24" customHeight="1">
      <c r="A2" s="495">
        <v>2010</v>
      </c>
      <c r="B2" s="495"/>
      <c r="C2" s="495"/>
      <c r="D2" s="495"/>
      <c r="E2" s="495"/>
      <c r="F2" s="495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18" ht="15" customHeight="1">
      <c r="A3" s="503"/>
      <c r="B3" s="503"/>
      <c r="C3" s="503"/>
      <c r="D3" s="503"/>
      <c r="E3" s="503"/>
      <c r="F3" s="503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380"/>
      <c r="N4" s="380"/>
      <c r="O4" s="380"/>
      <c r="P4" s="380"/>
      <c r="Q4" s="380"/>
      <c r="R4" s="380"/>
    </row>
    <row r="5" spans="1:18" ht="15.75" customHeight="1">
      <c r="A5"/>
      <c r="B5"/>
      <c r="C5" s="360" t="s">
        <v>640</v>
      </c>
      <c r="D5" s="364"/>
      <c r="E5" s="364"/>
      <c r="F5" s="364"/>
      <c r="G5" s="364"/>
      <c r="H5" s="364"/>
      <c r="I5" s="364"/>
      <c r="J5"/>
      <c r="K5"/>
      <c r="L5"/>
      <c r="N5" s="388"/>
      <c r="O5" s="388"/>
      <c r="P5" s="388"/>
      <c r="Q5" s="388"/>
      <c r="R5" s="388"/>
    </row>
    <row r="6" spans="1:18" ht="15">
      <c r="A6"/>
      <c r="B6"/>
      <c r="C6" s="367" t="s">
        <v>31</v>
      </c>
      <c r="D6" s="367"/>
      <c r="E6" s="367"/>
      <c r="F6" s="367"/>
      <c r="G6" s="367"/>
      <c r="H6" s="367"/>
      <c r="I6" s="367"/>
      <c r="J6"/>
      <c r="K6"/>
      <c r="L6"/>
      <c r="M6" s="389" t="s">
        <v>654</v>
      </c>
      <c r="N6" s="388"/>
      <c r="O6" s="388"/>
      <c r="P6" s="388"/>
      <c r="Q6" s="388"/>
      <c r="R6" s="388"/>
    </row>
    <row r="7" spans="1:18" s="4" customFormat="1" ht="15">
      <c r="A7"/>
      <c r="B7"/>
      <c r="C7" s="516" t="s">
        <v>641</v>
      </c>
      <c r="D7" s="516"/>
      <c r="E7" s="516"/>
      <c r="F7" s="516"/>
      <c r="G7" s="368"/>
      <c r="H7" s="518">
        <v>2010</v>
      </c>
      <c r="I7" s="518"/>
      <c r="J7"/>
      <c r="K7"/>
      <c r="L7"/>
      <c r="M7" s="367" t="s">
        <v>31</v>
      </c>
      <c r="N7" s="367"/>
      <c r="O7" s="367"/>
      <c r="P7" s="367"/>
      <c r="Q7" s="367"/>
      <c r="R7" s="367"/>
    </row>
    <row r="8" spans="1:18" s="4" customFormat="1" ht="15">
      <c r="A8"/>
      <c r="B8"/>
      <c r="C8" s="517"/>
      <c r="D8" s="517"/>
      <c r="E8" s="517"/>
      <c r="F8" s="517"/>
      <c r="G8" s="367"/>
      <c r="H8" s="369" t="s">
        <v>626</v>
      </c>
      <c r="I8" s="369" t="s">
        <v>19</v>
      </c>
      <c r="J8"/>
      <c r="K8"/>
      <c r="L8"/>
      <c r="M8" s="370"/>
      <c r="N8" s="370"/>
      <c r="O8" s="370"/>
      <c r="P8" s="518">
        <v>2010</v>
      </c>
      <c r="Q8" s="518"/>
      <c r="R8" s="518"/>
    </row>
    <row r="9" spans="1:18" s="4" customFormat="1" ht="15">
      <c r="A9"/>
      <c r="B9"/>
      <c r="C9" s="364"/>
      <c r="D9" s="361" t="s">
        <v>642</v>
      </c>
      <c r="E9" s="364"/>
      <c r="F9" s="364"/>
      <c r="G9" s="364"/>
      <c r="H9" s="382">
        <f>SUM(H23+H10)</f>
        <v>126519615</v>
      </c>
      <c r="I9" s="383"/>
      <c r="J9"/>
      <c r="K9"/>
      <c r="L9"/>
      <c r="M9" s="371"/>
      <c r="N9" s="371"/>
      <c r="O9" s="371"/>
      <c r="P9" s="372" t="s">
        <v>655</v>
      </c>
      <c r="Q9" s="372"/>
      <c r="R9" s="378" t="s">
        <v>19</v>
      </c>
    </row>
    <row r="10" spans="1:18" s="4" customFormat="1" ht="15.75" customHeight="1">
      <c r="A10"/>
      <c r="B10"/>
      <c r="C10" s="364"/>
      <c r="D10" s="364"/>
      <c r="E10" s="364" t="s">
        <v>643</v>
      </c>
      <c r="F10" s="365"/>
      <c r="G10" s="364"/>
      <c r="H10" s="383">
        <f>SUM(H11:H22)</f>
        <v>97328855</v>
      </c>
      <c r="I10" s="385">
        <f>SUM(I11:I22)</f>
        <v>100.00000000000001</v>
      </c>
      <c r="J10"/>
      <c r="K10"/>
      <c r="L10"/>
      <c r="M10" s="361" t="s">
        <v>614</v>
      </c>
      <c r="N10" s="365"/>
      <c r="O10" s="364"/>
      <c r="P10" s="375">
        <f>SUM(P11:P20)</f>
        <v>97328856</v>
      </c>
      <c r="Q10" s="364"/>
      <c r="R10" s="386">
        <f>SUM(R11:R20)</f>
        <v>100</v>
      </c>
    </row>
    <row r="11" spans="1:21" s="4" customFormat="1" ht="15">
      <c r="A11"/>
      <c r="B11"/>
      <c r="C11" s="364"/>
      <c r="D11" s="364"/>
      <c r="E11" s="364"/>
      <c r="F11" s="364" t="s">
        <v>644</v>
      </c>
      <c r="G11" s="364"/>
      <c r="H11" s="383">
        <v>33900198</v>
      </c>
      <c r="I11" s="385">
        <f>+(H11/$H$10)*100</f>
        <v>34.83057311215672</v>
      </c>
      <c r="J11"/>
      <c r="K11"/>
      <c r="L11"/>
      <c r="M11" s="364" t="s">
        <v>628</v>
      </c>
      <c r="N11" s="364"/>
      <c r="O11" s="364"/>
      <c r="P11" s="373">
        <v>3647886</v>
      </c>
      <c r="Q11" s="364"/>
      <c r="R11" s="387">
        <f>+(P11/$P$10)*100</f>
        <v>3.7480004902143307</v>
      </c>
      <c r="S11" s="8"/>
      <c r="T11" s="8"/>
      <c r="U11" s="8"/>
    </row>
    <row r="12" spans="1:21" s="4" customFormat="1" ht="15">
      <c r="A12"/>
      <c r="B12"/>
      <c r="C12" s="364"/>
      <c r="D12" s="364"/>
      <c r="E12" s="364"/>
      <c r="F12" s="364" t="s">
        <v>645</v>
      </c>
      <c r="G12" s="364"/>
      <c r="H12" s="383">
        <v>5553513</v>
      </c>
      <c r="I12" s="385">
        <f aca="true" t="shared" si="0" ref="I12:I22">+(H12/$H$10)*100</f>
        <v>5.7059265723407515</v>
      </c>
      <c r="J12"/>
      <c r="K12"/>
      <c r="L12"/>
      <c r="M12" s="364" t="s">
        <v>629</v>
      </c>
      <c r="N12" s="364"/>
      <c r="O12" s="364"/>
      <c r="P12" s="373">
        <v>4849930</v>
      </c>
      <c r="Q12" s="364"/>
      <c r="R12" s="387">
        <f aca="true" t="shared" si="1" ref="R12:R20">+(P12/$P$10)*100</f>
        <v>4.983034014085195</v>
      </c>
      <c r="S12" s="8"/>
      <c r="T12" s="8"/>
      <c r="U12" s="8"/>
    </row>
    <row r="13" spans="1:21" s="4" customFormat="1" ht="15.75" customHeight="1">
      <c r="A13"/>
      <c r="B13"/>
      <c r="C13" s="364"/>
      <c r="D13" s="364"/>
      <c r="E13" s="364"/>
      <c r="F13" s="522" t="s">
        <v>646</v>
      </c>
      <c r="G13" s="522"/>
      <c r="H13" s="383">
        <v>8644293</v>
      </c>
      <c r="I13" s="385">
        <f t="shared" si="0"/>
        <v>8.881531586907089</v>
      </c>
      <c r="J13"/>
      <c r="K13"/>
      <c r="L13"/>
      <c r="M13" s="364" t="s">
        <v>630</v>
      </c>
      <c r="N13" s="364"/>
      <c r="O13" s="364"/>
      <c r="P13" s="373">
        <v>5435040</v>
      </c>
      <c r="Q13" s="364"/>
      <c r="R13" s="387">
        <f t="shared" si="1"/>
        <v>5.584202078775076</v>
      </c>
      <c r="S13" s="8"/>
      <c r="T13" s="8"/>
      <c r="U13" s="8"/>
    </row>
    <row r="14" spans="1:21" s="4" customFormat="1" ht="15.75" customHeight="1">
      <c r="A14"/>
      <c r="B14"/>
      <c r="C14" s="364"/>
      <c r="D14" s="364"/>
      <c r="E14" s="364"/>
      <c r="F14" s="522" t="s">
        <v>647</v>
      </c>
      <c r="G14" s="522"/>
      <c r="H14" s="524">
        <v>5392492</v>
      </c>
      <c r="I14" s="385">
        <f t="shared" si="0"/>
        <v>5.540486426147724</v>
      </c>
      <c r="J14"/>
      <c r="K14"/>
      <c r="L14"/>
      <c r="M14" s="364" t="s">
        <v>631</v>
      </c>
      <c r="N14" s="364"/>
      <c r="O14" s="364"/>
      <c r="P14" s="373">
        <v>5963773</v>
      </c>
      <c r="Q14" s="364"/>
      <c r="R14" s="387">
        <f t="shared" si="1"/>
        <v>6.127445903607456</v>
      </c>
      <c r="S14" s="8"/>
      <c r="T14" s="8"/>
      <c r="U14" s="8"/>
    </row>
    <row r="15" spans="1:21" s="4" customFormat="1" ht="15">
      <c r="A15"/>
      <c r="B15"/>
      <c r="C15" s="364"/>
      <c r="D15" s="364"/>
      <c r="E15" s="364"/>
      <c r="F15" s="522"/>
      <c r="G15" s="522"/>
      <c r="H15" s="524"/>
      <c r="I15" s="385"/>
      <c r="J15"/>
      <c r="K15"/>
      <c r="L15"/>
      <c r="M15" s="364" t="s">
        <v>632</v>
      </c>
      <c r="N15" s="364"/>
      <c r="O15" s="364"/>
      <c r="P15" s="373">
        <v>6961082</v>
      </c>
      <c r="Q15" s="364"/>
      <c r="R15" s="387">
        <f t="shared" si="1"/>
        <v>7.15212557311883</v>
      </c>
      <c r="S15" s="8"/>
      <c r="T15" s="8"/>
      <c r="U15" s="8"/>
    </row>
    <row r="16" spans="1:21" s="4" customFormat="1" ht="15">
      <c r="A16"/>
      <c r="B16"/>
      <c r="C16" s="364"/>
      <c r="D16" s="364"/>
      <c r="E16" s="364"/>
      <c r="F16" s="374" t="s">
        <v>648</v>
      </c>
      <c r="G16" s="374"/>
      <c r="H16" s="383">
        <v>2323780</v>
      </c>
      <c r="I16" s="385">
        <f t="shared" si="0"/>
        <v>2.3875550575417743</v>
      </c>
      <c r="J16"/>
      <c r="K16"/>
      <c r="L16"/>
      <c r="M16" s="364" t="s">
        <v>633</v>
      </c>
      <c r="N16" s="364"/>
      <c r="O16" s="364"/>
      <c r="P16" s="373">
        <v>8391282</v>
      </c>
      <c r="Q16" s="364"/>
      <c r="R16" s="387">
        <f t="shared" si="1"/>
        <v>8.621576729515859</v>
      </c>
      <c r="S16" s="8"/>
      <c r="T16" s="8"/>
      <c r="U16" s="8"/>
    </row>
    <row r="17" spans="1:21" s="4" customFormat="1" ht="15">
      <c r="A17"/>
      <c r="B17"/>
      <c r="C17" s="364"/>
      <c r="D17" s="364"/>
      <c r="E17" s="364"/>
      <c r="F17" s="522" t="s">
        <v>649</v>
      </c>
      <c r="G17" s="522"/>
      <c r="H17" s="524">
        <v>18060308</v>
      </c>
      <c r="I17" s="385">
        <f t="shared" si="0"/>
        <v>18.555964723924884</v>
      </c>
      <c r="J17"/>
      <c r="K17"/>
      <c r="L17"/>
      <c r="M17" s="364" t="s">
        <v>634</v>
      </c>
      <c r="N17" s="364"/>
      <c r="O17" s="364"/>
      <c r="P17" s="373">
        <v>9482706</v>
      </c>
      <c r="Q17" s="364"/>
      <c r="R17" s="387">
        <f t="shared" si="1"/>
        <v>9.742954340283214</v>
      </c>
      <c r="S17" s="8"/>
      <c r="T17" s="8"/>
      <c r="U17" s="8"/>
    </row>
    <row r="18" spans="1:21" s="4" customFormat="1" ht="15">
      <c r="A18"/>
      <c r="B18"/>
      <c r="C18" s="364"/>
      <c r="D18" s="364"/>
      <c r="E18" s="364"/>
      <c r="F18" s="522"/>
      <c r="G18" s="522"/>
      <c r="H18" s="524"/>
      <c r="I18" s="385"/>
      <c r="J18"/>
      <c r="K18"/>
      <c r="L18"/>
      <c r="M18" s="364" t="s">
        <v>635</v>
      </c>
      <c r="N18" s="364"/>
      <c r="O18" s="364"/>
      <c r="P18" s="373">
        <v>11122140</v>
      </c>
      <c r="Q18" s="364"/>
      <c r="R18" s="387">
        <f t="shared" si="1"/>
        <v>11.427381823947464</v>
      </c>
      <c r="S18" s="8"/>
      <c r="T18" s="8"/>
      <c r="U18" s="8"/>
    </row>
    <row r="19" spans="1:21" s="4" customFormat="1" ht="15.75" customHeight="1">
      <c r="A19"/>
      <c r="B19"/>
      <c r="C19" s="364"/>
      <c r="D19" s="364"/>
      <c r="E19" s="364"/>
      <c r="F19" s="522" t="s">
        <v>650</v>
      </c>
      <c r="G19" s="522"/>
      <c r="H19" s="524">
        <v>14185533</v>
      </c>
      <c r="I19" s="385">
        <f t="shared" si="0"/>
        <v>14.574848332490914</v>
      </c>
      <c r="J19"/>
      <c r="K19"/>
      <c r="L19"/>
      <c r="M19" s="364" t="s">
        <v>636</v>
      </c>
      <c r="N19" s="364"/>
      <c r="O19" s="364"/>
      <c r="P19" s="373">
        <v>13838225</v>
      </c>
      <c r="Q19" s="364"/>
      <c r="R19" s="387">
        <f t="shared" si="1"/>
        <v>14.218008480444894</v>
      </c>
      <c r="S19" s="8"/>
      <c r="T19" s="8"/>
      <c r="U19" s="8"/>
    </row>
    <row r="20" spans="1:21" s="4" customFormat="1" ht="15">
      <c r="A20"/>
      <c r="B20"/>
      <c r="C20" s="364"/>
      <c r="D20" s="364"/>
      <c r="E20" s="364"/>
      <c r="F20" s="522"/>
      <c r="G20" s="522"/>
      <c r="H20" s="524"/>
      <c r="I20" s="385"/>
      <c r="J20"/>
      <c r="K20"/>
      <c r="L20"/>
      <c r="M20" s="364" t="s">
        <v>637</v>
      </c>
      <c r="N20" s="364"/>
      <c r="O20" s="364"/>
      <c r="P20" s="373">
        <v>27636792</v>
      </c>
      <c r="Q20" s="364"/>
      <c r="R20" s="387">
        <f t="shared" si="1"/>
        <v>28.39527056600768</v>
      </c>
      <c r="S20" s="8"/>
      <c r="T20" s="8"/>
      <c r="U20" s="8"/>
    </row>
    <row r="21" spans="1:21" s="4" customFormat="1" ht="15">
      <c r="A21"/>
      <c r="B21"/>
      <c r="C21" s="364"/>
      <c r="D21" s="364"/>
      <c r="E21" s="364"/>
      <c r="F21" s="379" t="s">
        <v>651</v>
      </c>
      <c r="G21" s="374"/>
      <c r="H21" s="383">
        <v>6723009</v>
      </c>
      <c r="I21" s="385">
        <f t="shared" si="0"/>
        <v>6.907518844231754</v>
      </c>
      <c r="J21"/>
      <c r="K21"/>
      <c r="L21"/>
      <c r="M21" s="512" t="s">
        <v>656</v>
      </c>
      <c r="N21" s="512"/>
      <c r="O21" s="512"/>
      <c r="P21" s="512"/>
      <c r="Q21" s="512"/>
      <c r="R21" s="512"/>
      <c r="S21" s="8"/>
      <c r="T21" s="8"/>
      <c r="U21" s="8"/>
    </row>
    <row r="22" spans="1:21" s="4" customFormat="1" ht="15.75" customHeight="1">
      <c r="A22"/>
      <c r="B22"/>
      <c r="C22" s="364"/>
      <c r="D22" s="364"/>
      <c r="E22" s="364"/>
      <c r="F22" s="374" t="s">
        <v>652</v>
      </c>
      <c r="G22" s="374"/>
      <c r="H22" s="383">
        <v>2545729</v>
      </c>
      <c r="I22" s="385">
        <f t="shared" si="0"/>
        <v>2.615595344258391</v>
      </c>
      <c r="J22"/>
      <c r="K22"/>
      <c r="L22"/>
      <c r="M22" s="521"/>
      <c r="N22" s="521"/>
      <c r="O22" s="521"/>
      <c r="P22" s="521"/>
      <c r="Q22" s="521"/>
      <c r="R22" s="521"/>
      <c r="S22" s="8"/>
      <c r="T22" s="8"/>
      <c r="U22" s="8"/>
    </row>
    <row r="23" spans="1:21" s="4" customFormat="1" ht="15">
      <c r="A23"/>
      <c r="B23"/>
      <c r="C23" s="364"/>
      <c r="D23" s="364"/>
      <c r="E23" s="364" t="s">
        <v>653</v>
      </c>
      <c r="F23" s="374"/>
      <c r="G23" s="374"/>
      <c r="H23" s="383">
        <f>SUM(H24:H27)</f>
        <v>29190760</v>
      </c>
      <c r="I23" s="385">
        <f>SUM(I24:I27)</f>
        <v>100</v>
      </c>
      <c r="J23"/>
      <c r="K23"/>
      <c r="L23"/>
      <c r="S23" s="8"/>
      <c r="T23" s="8"/>
      <c r="U23" s="8"/>
    </row>
    <row r="24" spans="1:21" s="4" customFormat="1" ht="15">
      <c r="A24"/>
      <c r="B24"/>
      <c r="C24" s="364"/>
      <c r="D24" s="364"/>
      <c r="E24" s="364"/>
      <c r="F24" s="364" t="s">
        <v>622</v>
      </c>
      <c r="G24" s="364"/>
      <c r="H24" s="383">
        <v>474218</v>
      </c>
      <c r="I24" s="385">
        <f>+(H24/$H$23)*100</f>
        <v>1.6245483159739589</v>
      </c>
      <c r="J24"/>
      <c r="K24"/>
      <c r="L24"/>
      <c r="M24" s="381"/>
      <c r="N24" s="381"/>
      <c r="O24" s="381"/>
      <c r="P24" s="381"/>
      <c r="Q24" s="381"/>
      <c r="R24" s="381"/>
      <c r="S24" s="8"/>
      <c r="T24" s="8"/>
      <c r="U24" s="8"/>
    </row>
    <row r="25" spans="1:18" s="4" customFormat="1" ht="15">
      <c r="A25"/>
      <c r="B25"/>
      <c r="C25" s="364"/>
      <c r="D25" s="364"/>
      <c r="E25" s="364"/>
      <c r="F25" s="364" t="s">
        <v>623</v>
      </c>
      <c r="G25" s="364"/>
      <c r="H25" s="383">
        <v>1053422</v>
      </c>
      <c r="I25" s="385">
        <f>+(H25/$H$23)*100</f>
        <v>3.6087515364450944</v>
      </c>
      <c r="J25"/>
      <c r="K25"/>
      <c r="L25"/>
      <c r="M25" s="381"/>
      <c r="N25" s="381"/>
      <c r="O25" s="381"/>
      <c r="P25" s="381"/>
      <c r="Q25" s="381"/>
      <c r="R25" s="381"/>
    </row>
    <row r="26" spans="1:19" s="4" customFormat="1" ht="15">
      <c r="A26"/>
      <c r="B26"/>
      <c r="C26" s="364"/>
      <c r="D26" s="364"/>
      <c r="E26" s="364"/>
      <c r="F26" s="364" t="s">
        <v>624</v>
      </c>
      <c r="G26" s="364"/>
      <c r="H26" s="383">
        <v>8743371</v>
      </c>
      <c r="I26" s="385">
        <f>+(H26/$H$23)*100</f>
        <v>29.95252949906066</v>
      </c>
      <c r="J26"/>
      <c r="K26"/>
      <c r="L26"/>
      <c r="M26" s="381"/>
      <c r="N26" s="381"/>
      <c r="O26" s="381"/>
      <c r="P26" s="381"/>
      <c r="Q26" s="381"/>
      <c r="R26" s="381"/>
      <c r="S26" s="8"/>
    </row>
    <row r="27" spans="1:19" s="4" customFormat="1" ht="15">
      <c r="A27"/>
      <c r="B27"/>
      <c r="C27" s="367"/>
      <c r="D27" s="367"/>
      <c r="E27" s="367"/>
      <c r="F27" s="367" t="s">
        <v>625</v>
      </c>
      <c r="G27" s="367"/>
      <c r="H27" s="384">
        <v>18919749</v>
      </c>
      <c r="I27" s="385">
        <f>+(H27/$H$23)*100</f>
        <v>64.81417064852029</v>
      </c>
      <c r="J27"/>
      <c r="K27"/>
      <c r="L27"/>
      <c r="M27" s="381"/>
      <c r="N27" s="381"/>
      <c r="O27" s="381"/>
      <c r="P27" s="381"/>
      <c r="Q27" s="381"/>
      <c r="R27" s="381"/>
      <c r="S27" s="8"/>
    </row>
    <row r="28" spans="1:19" s="4" customFormat="1" ht="18" customHeight="1">
      <c r="A28"/>
      <c r="B28"/>
      <c r="C28" s="523" t="s">
        <v>658</v>
      </c>
      <c r="D28" s="523"/>
      <c r="E28" s="523"/>
      <c r="F28" s="523"/>
      <c r="G28" s="523"/>
      <c r="H28" s="523"/>
      <c r="I28" s="523"/>
      <c r="J28"/>
      <c r="K28"/>
      <c r="L28"/>
      <c r="M28" s="381"/>
      <c r="N28" s="381"/>
      <c r="O28" s="381"/>
      <c r="P28" s="381"/>
      <c r="Q28" s="381"/>
      <c r="R28" s="381"/>
      <c r="S28" s="8"/>
    </row>
    <row r="29" spans="1:18" s="4" customFormat="1" ht="15">
      <c r="A29"/>
      <c r="B29"/>
      <c r="C29"/>
      <c r="D29"/>
      <c r="E29"/>
      <c r="F29"/>
      <c r="G29"/>
      <c r="H29"/>
      <c r="I29"/>
      <c r="J29"/>
      <c r="K29"/>
      <c r="L29"/>
      <c r="M29" s="381"/>
      <c r="N29" s="381"/>
      <c r="O29" s="381"/>
      <c r="P29" s="381"/>
      <c r="Q29" s="381"/>
      <c r="R29" s="381"/>
    </row>
    <row r="30" spans="1:18" s="10" customFormat="1" ht="15">
      <c r="A30"/>
      <c r="B30"/>
      <c r="C30"/>
      <c r="D30"/>
      <c r="E30"/>
      <c r="F30"/>
      <c r="G30"/>
      <c r="H30"/>
      <c r="I30"/>
      <c r="J30"/>
      <c r="K30"/>
      <c r="L30"/>
      <c r="M30" s="381"/>
      <c r="N30" s="381"/>
      <c r="O30" s="381"/>
      <c r="P30" s="381"/>
      <c r="Q30" s="381"/>
      <c r="R30" s="381"/>
    </row>
    <row r="31" spans="1:19" s="4" customFormat="1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 s="8"/>
    </row>
    <row r="32" spans="1:19" s="4" customFormat="1" ht="6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 s="8"/>
    </row>
    <row r="33" spans="1:19" s="4" customFormat="1" ht="16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 s="8"/>
    </row>
    <row r="34" spans="1:18" s="4" customFormat="1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s="4" customFormat="1" ht="3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s="4" customFormat="1" ht="30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s="4" customFormat="1" ht="16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s="4" customFormat="1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s="4" customFormat="1" ht="5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s="4" customFormat="1" ht="16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s="4" customFormat="1" ht="1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s="4" customFormat="1" ht="30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s="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s="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s="4" customFormat="1" ht="6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4" customFormat="1" ht="30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s="4" customFormat="1" ht="16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s="4" customFormat="1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s="4" customFormat="1" ht="5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s="4" customFormat="1" ht="16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s="4" customFormat="1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s="4" customFormat="1" ht="6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s="4" customFormat="1" ht="16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s="4" customFormat="1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s="4" customFormat="1" ht="6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s="4" customFormat="1" ht="16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s="4" customFormat="1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s="4" customFormat="1" ht="6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s="4" customFormat="1" ht="16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s="4" customFormat="1" ht="13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s="4" customFormat="1" ht="30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s="4" customFormat="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s="10" customFormat="1" ht="20.25" customHeight="1">
      <c r="A63" s="2"/>
      <c r="B63" s="2"/>
      <c r="C63" s="2"/>
      <c r="D63" s="2"/>
      <c r="E63" s="2"/>
      <c r="F63" s="2"/>
      <c r="G63" s="38"/>
      <c r="H63" s="38"/>
      <c r="I63" s="38"/>
      <c r="J63" s="38"/>
      <c r="K63" s="38"/>
      <c r="L63" s="38"/>
      <c r="M63" s="33"/>
      <c r="N63" s="33"/>
      <c r="O63" s="33"/>
      <c r="P63" s="33"/>
      <c r="Q63" s="33"/>
      <c r="R63" s="56"/>
    </row>
    <row r="64" spans="1:22" s="4" customFormat="1" ht="9.75" customHeight="1">
      <c r="A64" s="51"/>
      <c r="B64" s="51"/>
      <c r="C64" s="51"/>
      <c r="D64" s="51"/>
      <c r="E64" s="51"/>
      <c r="F64" s="51"/>
      <c r="G64" s="390"/>
      <c r="H64" s="390"/>
      <c r="I64" s="390"/>
      <c r="J64" s="390"/>
      <c r="K64" s="390"/>
      <c r="L64" s="390"/>
      <c r="M64" s="391"/>
      <c r="N64" s="391"/>
      <c r="O64" s="391"/>
      <c r="P64" s="391"/>
      <c r="Q64" s="391"/>
      <c r="R64" s="391"/>
      <c r="S64" s="10"/>
      <c r="T64" s="10"/>
      <c r="U64" s="10"/>
      <c r="V64" s="10"/>
    </row>
    <row r="65" spans="1:22" s="230" customFormat="1" ht="15" customHeight="1">
      <c r="A65" s="82" t="s">
        <v>657</v>
      </c>
      <c r="B65" s="226"/>
      <c r="C65" s="226"/>
      <c r="D65" s="226"/>
      <c r="E65" s="226"/>
      <c r="F65" s="226"/>
      <c r="G65" s="227"/>
      <c r="H65" s="227"/>
      <c r="I65" s="227"/>
      <c r="J65" s="227"/>
      <c r="K65" s="227"/>
      <c r="L65" s="227"/>
      <c r="M65" s="228"/>
      <c r="N65" s="228"/>
      <c r="O65" s="228"/>
      <c r="P65" s="228"/>
      <c r="Q65" s="228"/>
      <c r="R65" s="228"/>
      <c r="S65" s="227"/>
      <c r="T65" s="228"/>
      <c r="U65" s="227"/>
      <c r="V65" s="229"/>
    </row>
    <row r="67" spans="1:18" ht="18">
      <c r="A67" s="514"/>
      <c r="B67" s="514"/>
      <c r="C67" s="514"/>
      <c r="D67" s="514"/>
      <c r="E67" s="514"/>
      <c r="F67" s="514"/>
      <c r="G67" s="514"/>
      <c r="H67" s="514"/>
      <c r="I67" s="514"/>
      <c r="J67" s="514"/>
      <c r="K67" s="514"/>
      <c r="L67" s="514"/>
      <c r="M67" s="514"/>
      <c r="N67" s="514"/>
      <c r="O67" s="514"/>
      <c r="P67" s="514"/>
      <c r="Q67" s="514"/>
      <c r="R67" s="514"/>
    </row>
  </sheetData>
  <sheetProtection/>
  <mergeCells count="15">
    <mergeCell ref="A67:R67"/>
    <mergeCell ref="C7:F8"/>
    <mergeCell ref="H7:I7"/>
    <mergeCell ref="C28:I28"/>
    <mergeCell ref="P8:R8"/>
    <mergeCell ref="H19:H20"/>
    <mergeCell ref="H17:H18"/>
    <mergeCell ref="H14:H15"/>
    <mergeCell ref="M21:R22"/>
    <mergeCell ref="F14:G15"/>
    <mergeCell ref="F17:G18"/>
    <mergeCell ref="F19:G20"/>
    <mergeCell ref="F13:G13"/>
    <mergeCell ref="A2:F2"/>
    <mergeCell ref="A3:F3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scale="43" r:id="rId3"/>
  <headerFooter alignWithMargins="0">
    <oddHeader>&amp;C
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9" tint="-0.24997000396251678"/>
  </sheetPr>
  <dimension ref="A1:X74"/>
  <sheetViews>
    <sheetView showGridLines="0" view="pageBreakPreview" zoomScale="85" zoomScaleNormal="65" zoomScaleSheetLayoutView="85" zoomScalePageLayoutView="0" workbookViewId="0" topLeftCell="A4">
      <pane xSplit="5" ySplit="2" topLeftCell="F47" activePane="bottomRight" state="frozen"/>
      <selection pane="topLeft" activeCell="A4" sqref="A4"/>
      <selection pane="topRight" activeCell="F4" sqref="F4"/>
      <selection pane="bottomLeft" activeCell="A6" sqref="A6"/>
      <selection pane="bottomRight" activeCell="B57" sqref="B57"/>
    </sheetView>
  </sheetViews>
  <sheetFormatPr defaultColWidth="9.77734375" defaultRowHeight="15.75"/>
  <cols>
    <col min="1" max="1" width="2.77734375" style="14" customWidth="1"/>
    <col min="2" max="4" width="2.77734375" style="13" customWidth="1"/>
    <col min="5" max="5" width="27.3359375" style="13" customWidth="1"/>
    <col min="6" max="6" width="11.77734375" style="14" customWidth="1"/>
    <col min="7" max="8" width="11.77734375" style="20" customWidth="1"/>
    <col min="9" max="15" width="11.77734375" style="12" customWidth="1"/>
    <col min="16" max="16" width="1.77734375" style="12" customWidth="1"/>
    <col min="17" max="18" width="11.77734375" style="20" customWidth="1"/>
    <col min="19" max="19" width="8.88671875" style="13" customWidth="1"/>
    <col min="20" max="16384" width="9.77734375" style="13" customWidth="1"/>
  </cols>
  <sheetData>
    <row r="1" spans="1:19" ht="24.75" customHeight="1">
      <c r="A1" s="59" t="s">
        <v>295</v>
      </c>
      <c r="B1" s="60"/>
      <c r="C1" s="60"/>
      <c r="D1" s="6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455" t="s">
        <v>300</v>
      </c>
      <c r="S1" s="455"/>
    </row>
    <row r="2" spans="1:19" ht="24.75" customHeight="1">
      <c r="A2" s="59" t="s">
        <v>512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24.75" customHeight="1">
      <c r="A3" s="2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75" customHeight="1">
      <c r="A4" s="456" t="s">
        <v>64</v>
      </c>
      <c r="B4" s="456"/>
      <c r="C4" s="456"/>
      <c r="D4" s="456"/>
      <c r="E4" s="456"/>
      <c r="F4" s="458">
        <v>2003</v>
      </c>
      <c r="G4" s="458">
        <v>2004</v>
      </c>
      <c r="H4" s="458">
        <v>2005</v>
      </c>
      <c r="I4" s="458">
        <v>2006</v>
      </c>
      <c r="J4" s="458">
        <v>2007</v>
      </c>
      <c r="K4" s="458">
        <v>2008</v>
      </c>
      <c r="L4" s="458">
        <v>2009</v>
      </c>
      <c r="M4" s="458">
        <v>2010</v>
      </c>
      <c r="N4" s="458">
        <v>2011</v>
      </c>
      <c r="O4" s="458">
        <v>2012</v>
      </c>
      <c r="P4" s="460"/>
      <c r="Q4" s="462" t="s">
        <v>499</v>
      </c>
      <c r="R4" s="463"/>
      <c r="S4" s="463"/>
    </row>
    <row r="5" spans="1:19" ht="24.75" customHeight="1">
      <c r="A5" s="457"/>
      <c r="B5" s="457"/>
      <c r="C5" s="457"/>
      <c r="D5" s="457"/>
      <c r="E5" s="457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61"/>
      <c r="Q5" s="68" t="s">
        <v>65</v>
      </c>
      <c r="R5" s="68" t="s">
        <v>66</v>
      </c>
      <c r="S5" s="69" t="s">
        <v>19</v>
      </c>
    </row>
    <row r="6" spans="1:19" s="12" customFormat="1" ht="24.75" customHeight="1">
      <c r="A6" s="2"/>
      <c r="B6" s="10"/>
      <c r="C6" s="10"/>
      <c r="D6" s="10"/>
      <c r="E6" s="10"/>
      <c r="F6" s="3"/>
      <c r="G6" s="3"/>
      <c r="H6" s="11"/>
      <c r="I6" s="11"/>
      <c r="J6" s="11"/>
      <c r="K6" s="11"/>
      <c r="L6" s="11"/>
      <c r="M6" s="11"/>
      <c r="N6" s="11"/>
      <c r="O6" s="11"/>
      <c r="P6" s="11"/>
      <c r="Q6" s="3"/>
      <c r="R6" s="3"/>
      <c r="S6" s="3"/>
    </row>
    <row r="7" spans="1:24" s="74" customFormat="1" ht="24.75" customHeight="1">
      <c r="A7" s="79" t="s">
        <v>336</v>
      </c>
      <c r="B7" s="84"/>
      <c r="C7" s="84"/>
      <c r="D7" s="84"/>
      <c r="E7" s="84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89"/>
      <c r="X7" s="78"/>
    </row>
    <row r="8" spans="1:24" s="74" customFormat="1" ht="24.75" customHeight="1">
      <c r="A8" s="84"/>
      <c r="B8" s="84" t="s">
        <v>337</v>
      </c>
      <c r="C8" s="84"/>
      <c r="D8" s="84"/>
      <c r="E8" s="84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89"/>
      <c r="X8" s="78"/>
    </row>
    <row r="9" spans="1:24" s="91" customFormat="1" ht="24.75" customHeight="1">
      <c r="A9" s="85"/>
      <c r="B9" s="85"/>
      <c r="C9" s="85" t="s">
        <v>338</v>
      </c>
      <c r="D9" s="85"/>
      <c r="E9" s="85"/>
      <c r="F9" s="71">
        <v>254</v>
      </c>
      <c r="G9" s="71">
        <v>294</v>
      </c>
      <c r="H9" s="71">
        <v>276</v>
      </c>
      <c r="I9" s="71">
        <v>262</v>
      </c>
      <c r="J9" s="71">
        <v>305</v>
      </c>
      <c r="K9" s="71">
        <v>368</v>
      </c>
      <c r="L9" s="71">
        <v>312</v>
      </c>
      <c r="M9" s="71">
        <v>240</v>
      </c>
      <c r="N9" s="71">
        <v>285</v>
      </c>
      <c r="O9" s="71">
        <v>349</v>
      </c>
      <c r="P9" s="71"/>
      <c r="Q9" s="71">
        <v>2143692</v>
      </c>
      <c r="R9" s="71">
        <v>325</v>
      </c>
      <c r="S9" s="72">
        <f>(R9/Q9)*100</f>
        <v>0.015160760034557203</v>
      </c>
      <c r="T9" s="90"/>
      <c r="X9" s="92"/>
    </row>
    <row r="10" spans="1:24" s="110" customFormat="1" ht="24.75" customHeight="1">
      <c r="A10" s="107"/>
      <c r="B10" s="107"/>
      <c r="C10" s="467" t="s">
        <v>542</v>
      </c>
      <c r="D10" s="467"/>
      <c r="E10" s="468"/>
      <c r="F10" s="86">
        <v>1036</v>
      </c>
      <c r="G10" s="86">
        <v>2803</v>
      </c>
      <c r="H10" s="86">
        <v>1182</v>
      </c>
      <c r="I10" s="86">
        <v>2276</v>
      </c>
      <c r="J10" s="86">
        <v>2682</v>
      </c>
      <c r="K10" s="86">
        <v>2197</v>
      </c>
      <c r="L10" s="86">
        <v>2124</v>
      </c>
      <c r="M10" s="86">
        <v>8835</v>
      </c>
      <c r="N10" s="86">
        <v>12070</v>
      </c>
      <c r="O10" s="86">
        <v>11157</v>
      </c>
      <c r="P10" s="86"/>
      <c r="Q10" s="86">
        <v>10551</v>
      </c>
      <c r="R10" s="86">
        <v>9737</v>
      </c>
      <c r="S10" s="108">
        <f>(R10/Q10)*100</f>
        <v>92.28509146052507</v>
      </c>
      <c r="T10" s="109"/>
      <c r="X10" s="111"/>
    </row>
    <row r="11" spans="1:24" s="91" customFormat="1" ht="24.75" customHeight="1">
      <c r="A11" s="85"/>
      <c r="B11" s="465" t="s">
        <v>339</v>
      </c>
      <c r="C11" s="465"/>
      <c r="D11" s="465"/>
      <c r="E11" s="465"/>
      <c r="F11" s="112">
        <v>202314</v>
      </c>
      <c r="G11" s="112">
        <v>162273</v>
      </c>
      <c r="H11" s="112" t="s">
        <v>367</v>
      </c>
      <c r="I11" s="112" t="s">
        <v>368</v>
      </c>
      <c r="J11" s="112">
        <v>176961</v>
      </c>
      <c r="K11" s="112">
        <v>194637</v>
      </c>
      <c r="L11" s="112" t="s">
        <v>369</v>
      </c>
      <c r="M11" s="112">
        <v>178282</v>
      </c>
      <c r="N11" s="112">
        <v>170836</v>
      </c>
      <c r="O11" s="112">
        <v>186531</v>
      </c>
      <c r="P11" s="112"/>
      <c r="Q11" s="112" t="s">
        <v>55</v>
      </c>
      <c r="R11" s="112">
        <v>162599</v>
      </c>
      <c r="S11" s="72" t="s">
        <v>55</v>
      </c>
      <c r="T11" s="90"/>
      <c r="X11" s="92"/>
    </row>
    <row r="12" spans="1:24" s="110" customFormat="1" ht="24.75" customHeight="1">
      <c r="A12" s="107"/>
      <c r="B12" s="107" t="s">
        <v>340</v>
      </c>
      <c r="C12" s="107"/>
      <c r="D12" s="107"/>
      <c r="E12" s="107"/>
      <c r="F12" s="86">
        <v>56</v>
      </c>
      <c r="G12" s="86">
        <v>58</v>
      </c>
      <c r="H12" s="86">
        <v>67</v>
      </c>
      <c r="I12" s="86">
        <v>69</v>
      </c>
      <c r="J12" s="86">
        <v>75</v>
      </c>
      <c r="K12" s="86">
        <v>77</v>
      </c>
      <c r="L12" s="86">
        <v>81</v>
      </c>
      <c r="M12" s="86">
        <v>64</v>
      </c>
      <c r="N12" s="86">
        <v>70</v>
      </c>
      <c r="O12" s="86">
        <v>70</v>
      </c>
      <c r="P12" s="86"/>
      <c r="Q12" s="86" t="s">
        <v>55</v>
      </c>
      <c r="R12" s="86">
        <v>72</v>
      </c>
      <c r="S12" s="108" t="s">
        <v>55</v>
      </c>
      <c r="T12" s="109"/>
      <c r="X12" s="111"/>
    </row>
    <row r="13" spans="1:24" s="91" customFormat="1" ht="24.75" customHeight="1">
      <c r="A13" s="85"/>
      <c r="B13" s="85" t="s">
        <v>682</v>
      </c>
      <c r="C13" s="85"/>
      <c r="D13" s="85"/>
      <c r="E13" s="85"/>
      <c r="F13" s="71">
        <v>745750</v>
      </c>
      <c r="G13" s="71">
        <v>928633</v>
      </c>
      <c r="H13" s="71">
        <v>1030844</v>
      </c>
      <c r="I13" s="71">
        <v>944543</v>
      </c>
      <c r="J13" s="71">
        <v>953630</v>
      </c>
      <c r="K13" s="71">
        <v>1058848</v>
      </c>
      <c r="L13" s="71">
        <v>1125741</v>
      </c>
      <c r="M13" s="71">
        <v>1499892</v>
      </c>
      <c r="N13" s="71">
        <v>1371217</v>
      </c>
      <c r="O13" s="71">
        <v>1461516</v>
      </c>
      <c r="P13" s="71"/>
      <c r="Q13" s="71">
        <v>1813786</v>
      </c>
      <c r="R13" s="71">
        <v>1500633</v>
      </c>
      <c r="S13" s="72">
        <f>(R13/Q13)*100</f>
        <v>82.73484302999363</v>
      </c>
      <c r="T13" s="90"/>
      <c r="X13" s="92"/>
    </row>
    <row r="14" spans="1:24" s="74" customFormat="1" ht="24.75" customHeight="1">
      <c r="A14" s="84"/>
      <c r="B14" s="107" t="s">
        <v>506</v>
      </c>
      <c r="C14" s="84"/>
      <c r="D14" s="84"/>
      <c r="E14" s="84"/>
      <c r="Q14" s="78"/>
      <c r="T14" s="73"/>
      <c r="X14" s="78"/>
    </row>
    <row r="15" spans="1:24" s="82" customFormat="1" ht="24.75" customHeight="1">
      <c r="A15" s="84"/>
      <c r="B15" s="84" t="s">
        <v>377</v>
      </c>
      <c r="C15" s="84"/>
      <c r="D15" s="84"/>
      <c r="E15" s="84"/>
      <c r="F15" s="76">
        <v>5494</v>
      </c>
      <c r="G15" s="76">
        <v>5741</v>
      </c>
      <c r="H15" s="76">
        <v>5278</v>
      </c>
      <c r="I15" s="76">
        <v>6096</v>
      </c>
      <c r="J15" s="76">
        <v>5102</v>
      </c>
      <c r="K15" s="76">
        <v>4748</v>
      </c>
      <c r="L15" s="76">
        <v>1416</v>
      </c>
      <c r="M15" s="76">
        <v>1802</v>
      </c>
      <c r="N15" s="76">
        <v>8063</v>
      </c>
      <c r="O15" s="76">
        <v>3491</v>
      </c>
      <c r="P15" s="76"/>
      <c r="Q15" s="113">
        <v>19868</v>
      </c>
      <c r="R15" s="76">
        <v>2910</v>
      </c>
      <c r="S15" s="77">
        <f>(R15/Q15)*100</f>
        <v>14.646668008858466</v>
      </c>
      <c r="T15" s="81"/>
      <c r="X15" s="83"/>
    </row>
    <row r="16" spans="1:24" s="91" customFormat="1" ht="24.75" customHeight="1">
      <c r="A16" s="85"/>
      <c r="B16" s="465" t="s">
        <v>341</v>
      </c>
      <c r="C16" s="465"/>
      <c r="D16" s="465"/>
      <c r="E16" s="465"/>
      <c r="F16" s="71">
        <v>204143</v>
      </c>
      <c r="G16" s="71">
        <v>228248</v>
      </c>
      <c r="H16" s="71">
        <v>273812</v>
      </c>
      <c r="I16" s="71">
        <v>265815</v>
      </c>
      <c r="J16" s="71">
        <v>294685</v>
      </c>
      <c r="K16" s="71">
        <v>296875</v>
      </c>
      <c r="L16" s="71">
        <v>194812</v>
      </c>
      <c r="M16" s="71">
        <v>230667</v>
      </c>
      <c r="N16" s="71">
        <v>242550</v>
      </c>
      <c r="O16" s="71">
        <v>251612</v>
      </c>
      <c r="P16" s="71"/>
      <c r="Q16" s="71">
        <v>708733</v>
      </c>
      <c r="R16" s="71">
        <v>252238</v>
      </c>
      <c r="S16" s="72">
        <f>(R16/Q16)*100</f>
        <v>35.58998946006465</v>
      </c>
      <c r="T16" s="90"/>
      <c r="X16" s="92"/>
    </row>
    <row r="17" spans="1:24" s="82" customFormat="1" ht="24.75" customHeight="1">
      <c r="A17" s="79" t="s">
        <v>342</v>
      </c>
      <c r="B17" s="79"/>
      <c r="C17" s="79"/>
      <c r="D17" s="79"/>
      <c r="E17" s="79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89"/>
      <c r="T17" s="81"/>
      <c r="X17" s="83"/>
    </row>
    <row r="18" spans="1:24" s="91" customFormat="1" ht="24.75" customHeight="1">
      <c r="A18" s="70"/>
      <c r="B18" s="70" t="s">
        <v>507</v>
      </c>
      <c r="C18" s="85"/>
      <c r="D18" s="85"/>
      <c r="E18" s="70"/>
      <c r="F18" s="71">
        <v>4040353</v>
      </c>
      <c r="G18" s="71">
        <v>4049191</v>
      </c>
      <c r="H18" s="71">
        <v>4317218</v>
      </c>
      <c r="I18" s="71">
        <v>4247619</v>
      </c>
      <c r="J18" s="71">
        <v>4305692</v>
      </c>
      <c r="K18" s="71">
        <v>4344444</v>
      </c>
      <c r="L18" s="71">
        <v>4414927</v>
      </c>
      <c r="M18" s="71">
        <v>4465729</v>
      </c>
      <c r="N18" s="71">
        <v>4483745</v>
      </c>
      <c r="O18" s="71">
        <v>4518489</v>
      </c>
      <c r="P18" s="71"/>
      <c r="Q18" s="71">
        <v>40315809</v>
      </c>
      <c r="R18" s="334">
        <v>4655114</v>
      </c>
      <c r="S18" s="72">
        <f aca="true" t="shared" si="0" ref="S18:S38">(R18/Q18)*100</f>
        <v>11.546621822719718</v>
      </c>
      <c r="T18" s="90"/>
      <c r="X18" s="92"/>
    </row>
    <row r="19" spans="1:24" s="74" customFormat="1" ht="24.75" customHeight="1">
      <c r="A19" s="84"/>
      <c r="B19" s="75"/>
      <c r="C19" s="75" t="s">
        <v>343</v>
      </c>
      <c r="D19" s="75"/>
      <c r="E19" s="75"/>
      <c r="F19" s="76">
        <v>355792</v>
      </c>
      <c r="G19" s="76">
        <v>387095</v>
      </c>
      <c r="H19" s="76">
        <v>505554</v>
      </c>
      <c r="I19" s="76">
        <v>557146</v>
      </c>
      <c r="J19" s="76">
        <v>570340</v>
      </c>
      <c r="K19" s="76">
        <v>566489</v>
      </c>
      <c r="L19" s="76">
        <v>569809</v>
      </c>
      <c r="M19" s="76">
        <v>573518</v>
      </c>
      <c r="N19" s="76">
        <v>580953</v>
      </c>
      <c r="O19" s="76">
        <v>580397</v>
      </c>
      <c r="P19" s="76"/>
      <c r="Q19" s="76">
        <v>4761466</v>
      </c>
      <c r="R19" s="336">
        <v>589164</v>
      </c>
      <c r="S19" s="77">
        <f t="shared" si="0"/>
        <v>12.373584102039162</v>
      </c>
      <c r="T19" s="73"/>
      <c r="X19" s="78"/>
    </row>
    <row r="20" spans="1:24" s="91" customFormat="1" ht="24.75" customHeight="1">
      <c r="A20" s="85"/>
      <c r="B20" s="70"/>
      <c r="C20" s="70" t="s">
        <v>344</v>
      </c>
      <c r="D20" s="70"/>
      <c r="E20" s="70"/>
      <c r="F20" s="71">
        <v>1910498</v>
      </c>
      <c r="G20" s="71">
        <v>1900585</v>
      </c>
      <c r="H20" s="71">
        <v>1891320</v>
      </c>
      <c r="I20" s="71">
        <v>1885789</v>
      </c>
      <c r="J20" s="71">
        <v>1888457</v>
      </c>
      <c r="K20" s="71">
        <v>1894928</v>
      </c>
      <c r="L20" s="71">
        <v>1914168</v>
      </c>
      <c r="M20" s="71">
        <v>1931619</v>
      </c>
      <c r="N20" s="71">
        <v>1946728</v>
      </c>
      <c r="O20" s="71">
        <v>1956988</v>
      </c>
      <c r="P20" s="71"/>
      <c r="Q20" s="71">
        <v>14789406</v>
      </c>
      <c r="R20" s="334">
        <v>1951742</v>
      </c>
      <c r="S20" s="72">
        <f t="shared" si="0"/>
        <v>13.196892424212303</v>
      </c>
      <c r="T20" s="90"/>
      <c r="X20" s="92"/>
    </row>
    <row r="21" spans="1:24" s="74" customFormat="1" ht="24.75" customHeight="1">
      <c r="A21" s="84"/>
      <c r="B21" s="75"/>
      <c r="C21" s="75" t="s">
        <v>345</v>
      </c>
      <c r="D21" s="75"/>
      <c r="E21" s="75"/>
      <c r="F21" s="76">
        <v>732975</v>
      </c>
      <c r="G21" s="76">
        <v>755128</v>
      </c>
      <c r="H21" s="76">
        <v>779500</v>
      </c>
      <c r="I21" s="76">
        <v>793152</v>
      </c>
      <c r="J21" s="76">
        <v>803821</v>
      </c>
      <c r="K21" s="76">
        <v>806675</v>
      </c>
      <c r="L21" s="76">
        <v>805512</v>
      </c>
      <c r="M21" s="76">
        <v>793224</v>
      </c>
      <c r="N21" s="76">
        <v>793861</v>
      </c>
      <c r="O21" s="76">
        <v>806055</v>
      </c>
      <c r="P21" s="76"/>
      <c r="Q21" s="76">
        <v>6340232</v>
      </c>
      <c r="R21" s="336">
        <v>833084</v>
      </c>
      <c r="S21" s="77">
        <f t="shared" si="0"/>
        <v>13.139645363134978</v>
      </c>
      <c r="T21" s="73"/>
      <c r="X21" s="78"/>
    </row>
    <row r="22" spans="1:24" s="91" customFormat="1" ht="24.75" customHeight="1">
      <c r="A22" s="85"/>
      <c r="B22" s="70"/>
      <c r="C22" s="70" t="s">
        <v>346</v>
      </c>
      <c r="D22" s="70"/>
      <c r="E22" s="70"/>
      <c r="F22" s="71">
        <v>329778</v>
      </c>
      <c r="G22" s="71">
        <v>345278</v>
      </c>
      <c r="H22" s="71">
        <v>358749</v>
      </c>
      <c r="I22" s="71">
        <v>377941</v>
      </c>
      <c r="J22" s="71">
        <v>391993</v>
      </c>
      <c r="K22" s="71">
        <v>407016</v>
      </c>
      <c r="L22" s="71">
        <v>424180</v>
      </c>
      <c r="M22" s="71">
        <v>442660</v>
      </c>
      <c r="N22" s="71">
        <v>458220</v>
      </c>
      <c r="O22" s="71">
        <v>469663</v>
      </c>
      <c r="P22" s="71"/>
      <c r="Q22" s="71">
        <v>4443792</v>
      </c>
      <c r="R22" s="334">
        <v>484687</v>
      </c>
      <c r="S22" s="72">
        <f t="shared" si="0"/>
        <v>10.907058656210731</v>
      </c>
      <c r="T22" s="90"/>
      <c r="X22" s="92"/>
    </row>
    <row r="23" spans="1:24" s="74" customFormat="1" ht="24.75" customHeight="1">
      <c r="A23" s="84"/>
      <c r="B23" s="75"/>
      <c r="C23" s="75" t="s">
        <v>347</v>
      </c>
      <c r="D23" s="75"/>
      <c r="E23" s="75"/>
      <c r="F23" s="76">
        <v>202227</v>
      </c>
      <c r="G23" s="76">
        <v>217977</v>
      </c>
      <c r="H23" s="76">
        <v>236025</v>
      </c>
      <c r="I23" s="76">
        <v>243968</v>
      </c>
      <c r="J23" s="76">
        <v>254765</v>
      </c>
      <c r="K23" s="76">
        <v>268734</v>
      </c>
      <c r="L23" s="76">
        <v>271469</v>
      </c>
      <c r="M23" s="76">
        <v>294373</v>
      </c>
      <c r="N23" s="76">
        <v>313384</v>
      </c>
      <c r="O23" s="76">
        <v>337883</v>
      </c>
      <c r="P23" s="76"/>
      <c r="Q23" s="76">
        <v>3300348</v>
      </c>
      <c r="R23" s="336">
        <v>361116</v>
      </c>
      <c r="S23" s="77">
        <f t="shared" si="0"/>
        <v>10.941755233084512</v>
      </c>
      <c r="T23" s="73"/>
      <c r="X23" s="78"/>
    </row>
    <row r="24" spans="1:24" s="91" customFormat="1" ht="24.75" customHeight="1">
      <c r="A24" s="85"/>
      <c r="B24" s="85"/>
      <c r="C24" s="85" t="s">
        <v>683</v>
      </c>
      <c r="D24" s="85"/>
      <c r="E24" s="85"/>
      <c r="F24" s="71">
        <v>509083</v>
      </c>
      <c r="G24" s="71">
        <v>443128</v>
      </c>
      <c r="H24" s="71">
        <v>546070</v>
      </c>
      <c r="I24" s="71">
        <v>389623</v>
      </c>
      <c r="J24" s="71">
        <v>396316</v>
      </c>
      <c r="K24" s="71">
        <v>400602</v>
      </c>
      <c r="L24" s="71">
        <v>429789</v>
      </c>
      <c r="M24" s="71">
        <v>430335</v>
      </c>
      <c r="N24" s="71">
        <v>390599</v>
      </c>
      <c r="O24" s="71">
        <v>367503</v>
      </c>
      <c r="P24" s="71"/>
      <c r="Q24" s="71">
        <v>6680565</v>
      </c>
      <c r="R24" s="334">
        <v>435321</v>
      </c>
      <c r="S24" s="72">
        <f t="shared" si="0"/>
        <v>6.516230288905205</v>
      </c>
      <c r="T24" s="90"/>
      <c r="X24" s="92"/>
    </row>
    <row r="25" spans="1:20" s="98" customFormat="1" ht="24.75" customHeight="1">
      <c r="A25" s="84"/>
      <c r="B25" s="84" t="s">
        <v>348</v>
      </c>
      <c r="C25" s="84"/>
      <c r="D25" s="84"/>
      <c r="E25" s="84"/>
      <c r="F25" s="114">
        <v>187248</v>
      </c>
      <c r="G25" s="114">
        <v>190703</v>
      </c>
      <c r="H25" s="114">
        <v>200873</v>
      </c>
      <c r="I25" s="114">
        <v>213351</v>
      </c>
      <c r="J25" s="115">
        <v>211104</v>
      </c>
      <c r="K25" s="115">
        <v>212606</v>
      </c>
      <c r="L25" s="115">
        <v>218930</v>
      </c>
      <c r="M25" s="115">
        <v>222620</v>
      </c>
      <c r="N25" s="115">
        <v>235928</v>
      </c>
      <c r="O25" s="115">
        <v>235349</v>
      </c>
      <c r="P25" s="116"/>
      <c r="Q25" s="115">
        <v>1857942</v>
      </c>
      <c r="R25" s="337">
        <v>242818</v>
      </c>
      <c r="S25" s="77">
        <f t="shared" si="0"/>
        <v>13.069191610932956</v>
      </c>
      <c r="T25" s="117"/>
    </row>
    <row r="26" spans="2:20" s="85" customFormat="1" ht="24.75" customHeight="1">
      <c r="B26" s="70"/>
      <c r="C26" s="70" t="s">
        <v>343</v>
      </c>
      <c r="D26" s="70"/>
      <c r="F26" s="118">
        <v>14515</v>
      </c>
      <c r="G26" s="118">
        <v>15452</v>
      </c>
      <c r="H26" s="118">
        <v>21003</v>
      </c>
      <c r="I26" s="118">
        <v>23158</v>
      </c>
      <c r="J26" s="119">
        <v>23725</v>
      </c>
      <c r="K26" s="119">
        <v>23910</v>
      </c>
      <c r="L26" s="119">
        <v>24236</v>
      </c>
      <c r="M26" s="119">
        <v>24323</v>
      </c>
      <c r="N26" s="119">
        <v>24672</v>
      </c>
      <c r="O26" s="119">
        <v>24629</v>
      </c>
      <c r="P26" s="120"/>
      <c r="Q26" s="119">
        <v>226063</v>
      </c>
      <c r="R26" s="338">
        <v>24886</v>
      </c>
      <c r="S26" s="72">
        <f t="shared" si="0"/>
        <v>11.008435701552221</v>
      </c>
      <c r="T26" s="121"/>
    </row>
    <row r="27" spans="1:20" s="98" customFormat="1" ht="24.75" customHeight="1">
      <c r="A27" s="84"/>
      <c r="B27" s="75"/>
      <c r="C27" s="75" t="s">
        <v>344</v>
      </c>
      <c r="D27" s="75"/>
      <c r="E27" s="84"/>
      <c r="F27" s="114">
        <v>65646</v>
      </c>
      <c r="G27" s="114">
        <v>66415</v>
      </c>
      <c r="H27" s="114">
        <v>66933</v>
      </c>
      <c r="I27" s="114">
        <v>67338</v>
      </c>
      <c r="J27" s="115">
        <v>67479</v>
      </c>
      <c r="K27" s="115">
        <v>67567</v>
      </c>
      <c r="L27" s="115">
        <v>67854</v>
      </c>
      <c r="M27" s="115">
        <v>68191</v>
      </c>
      <c r="N27" s="115">
        <v>68642</v>
      </c>
      <c r="O27" s="115">
        <v>69155</v>
      </c>
      <c r="P27" s="116"/>
      <c r="Q27" s="115">
        <v>575337</v>
      </c>
      <c r="R27" s="337">
        <v>69541</v>
      </c>
      <c r="S27" s="77">
        <f t="shared" si="0"/>
        <v>12.087002921765851</v>
      </c>
      <c r="T27" s="117"/>
    </row>
    <row r="28" spans="2:20" s="85" customFormat="1" ht="24.75" customHeight="1">
      <c r="B28" s="70"/>
      <c r="C28" s="70" t="s">
        <v>345</v>
      </c>
      <c r="D28" s="70"/>
      <c r="F28" s="118">
        <v>40100</v>
      </c>
      <c r="G28" s="118">
        <v>41170</v>
      </c>
      <c r="H28" s="118">
        <v>42168</v>
      </c>
      <c r="I28" s="118">
        <v>42902</v>
      </c>
      <c r="J28" s="119">
        <v>43487</v>
      </c>
      <c r="K28" s="119">
        <v>43653</v>
      </c>
      <c r="L28" s="119">
        <v>43962</v>
      </c>
      <c r="M28" s="119">
        <v>43847</v>
      </c>
      <c r="N28" s="119">
        <v>44052</v>
      </c>
      <c r="O28" s="119">
        <v>44164</v>
      </c>
      <c r="P28" s="120"/>
      <c r="Q28" s="119">
        <v>394947</v>
      </c>
      <c r="R28" s="338">
        <v>44484</v>
      </c>
      <c r="S28" s="72">
        <f t="shared" si="0"/>
        <v>11.263283427902984</v>
      </c>
      <c r="T28" s="121"/>
    </row>
    <row r="29" spans="1:20" s="98" customFormat="1" ht="24.75" customHeight="1">
      <c r="A29" s="84"/>
      <c r="B29" s="75"/>
      <c r="C29" s="75" t="s">
        <v>346</v>
      </c>
      <c r="D29" s="75"/>
      <c r="E29" s="84"/>
      <c r="F29" s="114">
        <v>27405</v>
      </c>
      <c r="G29" s="114">
        <v>28370</v>
      </c>
      <c r="H29" s="114">
        <v>29183</v>
      </c>
      <c r="I29" s="114">
        <v>31008</v>
      </c>
      <c r="J29" s="115">
        <v>32650</v>
      </c>
      <c r="K29" s="115">
        <v>33382</v>
      </c>
      <c r="L29" s="115">
        <v>34192</v>
      </c>
      <c r="M29" s="115">
        <v>36222</v>
      </c>
      <c r="N29" s="115">
        <v>38019</v>
      </c>
      <c r="O29" s="115">
        <v>38351</v>
      </c>
      <c r="P29" s="116"/>
      <c r="Q29" s="115">
        <v>288464</v>
      </c>
      <c r="R29" s="337">
        <v>39557</v>
      </c>
      <c r="S29" s="77">
        <f t="shared" si="0"/>
        <v>13.712976315935437</v>
      </c>
      <c r="T29" s="117"/>
    </row>
    <row r="30" spans="2:20" s="85" customFormat="1" ht="24.75" customHeight="1">
      <c r="B30" s="70"/>
      <c r="C30" s="70" t="s">
        <v>347</v>
      </c>
      <c r="D30" s="70"/>
      <c r="F30" s="118">
        <v>23002</v>
      </c>
      <c r="G30" s="118">
        <v>23762</v>
      </c>
      <c r="H30" s="118">
        <v>25885</v>
      </c>
      <c r="I30" s="118">
        <v>27031</v>
      </c>
      <c r="J30" s="119">
        <v>26965</v>
      </c>
      <c r="K30" s="119">
        <v>27884</v>
      </c>
      <c r="L30" s="119">
        <v>29014</v>
      </c>
      <c r="M30" s="119">
        <v>32328</v>
      </c>
      <c r="N30" s="119">
        <v>32891</v>
      </c>
      <c r="O30" s="119">
        <v>37767</v>
      </c>
      <c r="P30" s="120"/>
      <c r="Q30" s="119">
        <v>332838</v>
      </c>
      <c r="R30" s="338">
        <v>39179</v>
      </c>
      <c r="S30" s="72">
        <f t="shared" si="0"/>
        <v>11.771191991299071</v>
      </c>
      <c r="T30" s="121"/>
    </row>
    <row r="31" spans="1:20" s="98" customFormat="1" ht="24.75" customHeight="1">
      <c r="A31" s="84"/>
      <c r="B31" s="84"/>
      <c r="C31" s="84" t="s">
        <v>362</v>
      </c>
      <c r="D31" s="84"/>
      <c r="F31" s="114">
        <v>16580</v>
      </c>
      <c r="G31" s="114">
        <v>15534</v>
      </c>
      <c r="H31" s="114">
        <v>15701</v>
      </c>
      <c r="I31" s="114">
        <v>21914</v>
      </c>
      <c r="J31" s="115">
        <v>16798</v>
      </c>
      <c r="K31" s="115">
        <v>16210</v>
      </c>
      <c r="L31" s="115">
        <v>19672</v>
      </c>
      <c r="M31" s="115">
        <v>17709</v>
      </c>
      <c r="N31" s="115">
        <v>27652</v>
      </c>
      <c r="O31" s="115">
        <v>21283</v>
      </c>
      <c r="P31" s="116"/>
      <c r="Q31" s="115">
        <v>40293</v>
      </c>
      <c r="R31" s="337">
        <v>25171</v>
      </c>
      <c r="S31" s="77">
        <f t="shared" si="0"/>
        <v>62.46990792445338</v>
      </c>
      <c r="T31" s="117"/>
    </row>
    <row r="32" spans="1:20" s="91" customFormat="1" ht="24.75" customHeight="1">
      <c r="A32" s="85"/>
      <c r="B32" s="85" t="s">
        <v>349</v>
      </c>
      <c r="C32" s="85"/>
      <c r="D32" s="85"/>
      <c r="E32" s="85"/>
      <c r="F32" s="71">
        <v>19538</v>
      </c>
      <c r="G32" s="71">
        <v>19875</v>
      </c>
      <c r="H32" s="71">
        <v>22411</v>
      </c>
      <c r="I32" s="71">
        <v>23155</v>
      </c>
      <c r="J32" s="71">
        <v>23396</v>
      </c>
      <c r="K32" s="71">
        <v>23367</v>
      </c>
      <c r="L32" s="71">
        <v>23749</v>
      </c>
      <c r="M32" s="71">
        <v>23743</v>
      </c>
      <c r="N32" s="71">
        <v>23881</v>
      </c>
      <c r="O32" s="71">
        <v>23996</v>
      </c>
      <c r="P32" s="71"/>
      <c r="Q32" s="71">
        <v>254458</v>
      </c>
      <c r="R32" s="334">
        <v>24079</v>
      </c>
      <c r="S32" s="72">
        <f t="shared" si="0"/>
        <v>9.462858310605286</v>
      </c>
      <c r="T32" s="90"/>
    </row>
    <row r="33" spans="1:20" s="74" customFormat="1" ht="24.75" customHeight="1">
      <c r="A33" s="84"/>
      <c r="B33" s="75"/>
      <c r="C33" s="75" t="s">
        <v>343</v>
      </c>
      <c r="D33" s="75"/>
      <c r="E33" s="75"/>
      <c r="F33" s="76">
        <v>5381</v>
      </c>
      <c r="G33" s="76">
        <v>5634</v>
      </c>
      <c r="H33" s="76">
        <v>7974</v>
      </c>
      <c r="I33" s="76">
        <v>8269</v>
      </c>
      <c r="J33" s="76">
        <v>8365</v>
      </c>
      <c r="K33" s="76">
        <v>8331</v>
      </c>
      <c r="L33" s="76">
        <v>8290</v>
      </c>
      <c r="M33" s="76">
        <v>8254</v>
      </c>
      <c r="N33" s="76">
        <v>8229</v>
      </c>
      <c r="O33" s="76">
        <v>8182</v>
      </c>
      <c r="P33" s="76"/>
      <c r="Q33" s="76">
        <v>91215</v>
      </c>
      <c r="R33" s="336">
        <v>8181</v>
      </c>
      <c r="S33" s="77">
        <f t="shared" si="0"/>
        <v>8.968919585594474</v>
      </c>
      <c r="T33" s="73"/>
    </row>
    <row r="34" spans="2:20" s="85" customFormat="1" ht="24.75" customHeight="1">
      <c r="B34" s="70"/>
      <c r="C34" s="70" t="s">
        <v>344</v>
      </c>
      <c r="D34" s="70"/>
      <c r="E34" s="70"/>
      <c r="F34" s="71">
        <v>7327</v>
      </c>
      <c r="G34" s="71">
        <v>7424</v>
      </c>
      <c r="H34" s="71">
        <v>7506</v>
      </c>
      <c r="I34" s="71">
        <v>7579</v>
      </c>
      <c r="J34" s="71">
        <v>7615</v>
      </c>
      <c r="K34" s="71">
        <v>7659</v>
      </c>
      <c r="L34" s="71">
        <v>7689</v>
      </c>
      <c r="M34" s="71">
        <v>7761</v>
      </c>
      <c r="N34" s="71">
        <v>7783</v>
      </c>
      <c r="O34" s="71">
        <v>7822</v>
      </c>
      <c r="P34" s="71"/>
      <c r="Q34" s="71">
        <v>99228</v>
      </c>
      <c r="R34" s="334">
        <v>7814</v>
      </c>
      <c r="S34" s="72">
        <f t="shared" si="0"/>
        <v>7.874793405087274</v>
      </c>
      <c r="T34" s="121"/>
    </row>
    <row r="35" spans="1:20" s="74" customFormat="1" ht="24.75" customHeight="1">
      <c r="A35" s="84"/>
      <c r="B35" s="75"/>
      <c r="C35" s="75" t="s">
        <v>345</v>
      </c>
      <c r="D35" s="75"/>
      <c r="E35" s="75"/>
      <c r="F35" s="76">
        <v>3123</v>
      </c>
      <c r="G35" s="76">
        <v>3215</v>
      </c>
      <c r="H35" s="76">
        <v>3290</v>
      </c>
      <c r="I35" s="76">
        <v>3349</v>
      </c>
      <c r="J35" s="76">
        <v>3386</v>
      </c>
      <c r="K35" s="76">
        <v>3423</v>
      </c>
      <c r="L35" s="76">
        <v>3549</v>
      </c>
      <c r="M35" s="76">
        <v>3585</v>
      </c>
      <c r="N35" s="76">
        <v>3622</v>
      </c>
      <c r="O35" s="76">
        <v>3673</v>
      </c>
      <c r="P35" s="76"/>
      <c r="Q35" s="76">
        <v>37222</v>
      </c>
      <c r="R35" s="336">
        <v>3727</v>
      </c>
      <c r="S35" s="77">
        <f t="shared" si="0"/>
        <v>10.012895599376712</v>
      </c>
      <c r="T35" s="73"/>
    </row>
    <row r="36" spans="1:20" s="91" customFormat="1" ht="24.75" customHeight="1">
      <c r="A36" s="85"/>
      <c r="B36" s="70"/>
      <c r="C36" s="70" t="s">
        <v>346</v>
      </c>
      <c r="D36" s="70"/>
      <c r="E36" s="70"/>
      <c r="F36" s="71">
        <v>1070</v>
      </c>
      <c r="G36" s="71">
        <v>1088</v>
      </c>
      <c r="H36" s="71">
        <v>1129</v>
      </c>
      <c r="I36" s="71">
        <v>1222</v>
      </c>
      <c r="J36" s="71">
        <v>1275</v>
      </c>
      <c r="K36" s="71">
        <v>1303</v>
      </c>
      <c r="L36" s="71">
        <v>1361</v>
      </c>
      <c r="M36" s="71">
        <v>1397</v>
      </c>
      <c r="N36" s="71">
        <v>1453</v>
      </c>
      <c r="O36" s="71">
        <v>1498</v>
      </c>
      <c r="P36" s="71"/>
      <c r="Q36" s="71">
        <v>15990</v>
      </c>
      <c r="R36" s="334">
        <v>1529</v>
      </c>
      <c r="S36" s="72">
        <f t="shared" si="0"/>
        <v>9.562226391494685</v>
      </c>
      <c r="T36" s="90"/>
    </row>
    <row r="37" spans="1:20" s="74" customFormat="1" ht="24.75" customHeight="1">
      <c r="A37" s="84"/>
      <c r="B37" s="75"/>
      <c r="C37" s="75" t="s">
        <v>347</v>
      </c>
      <c r="D37" s="75"/>
      <c r="E37" s="75"/>
      <c r="F37" s="76">
        <v>306</v>
      </c>
      <c r="G37" s="76">
        <v>342</v>
      </c>
      <c r="H37" s="76">
        <v>363</v>
      </c>
      <c r="I37" s="76">
        <v>364</v>
      </c>
      <c r="J37" s="76">
        <v>371</v>
      </c>
      <c r="K37" s="76">
        <v>381</v>
      </c>
      <c r="L37" s="76">
        <v>400</v>
      </c>
      <c r="M37" s="76">
        <v>490</v>
      </c>
      <c r="N37" s="76">
        <v>516</v>
      </c>
      <c r="O37" s="76">
        <v>555</v>
      </c>
      <c r="P37" s="76"/>
      <c r="Q37" s="76">
        <v>5017</v>
      </c>
      <c r="R37" s="336">
        <v>555</v>
      </c>
      <c r="S37" s="77">
        <f t="shared" si="0"/>
        <v>11.062387881203907</v>
      </c>
      <c r="T37" s="73"/>
    </row>
    <row r="38" spans="1:20" s="91" customFormat="1" ht="24.75" customHeight="1">
      <c r="A38" s="85"/>
      <c r="B38" s="70"/>
      <c r="C38" s="70" t="s">
        <v>684</v>
      </c>
      <c r="D38" s="70"/>
      <c r="E38" s="70"/>
      <c r="F38" s="71">
        <v>2331</v>
      </c>
      <c r="G38" s="71">
        <v>2172</v>
      </c>
      <c r="H38" s="71">
        <v>2149</v>
      </c>
      <c r="I38" s="71">
        <v>2372</v>
      </c>
      <c r="J38" s="71">
        <v>2384</v>
      </c>
      <c r="K38" s="71">
        <v>2270</v>
      </c>
      <c r="L38" s="71">
        <v>2460</v>
      </c>
      <c r="M38" s="71">
        <v>2256</v>
      </c>
      <c r="N38" s="71">
        <v>2278</v>
      </c>
      <c r="O38" s="71">
        <v>2266</v>
      </c>
      <c r="P38" s="71"/>
      <c r="Q38" s="71">
        <v>5786</v>
      </c>
      <c r="R38" s="334">
        <v>2273</v>
      </c>
      <c r="S38" s="72">
        <f t="shared" si="0"/>
        <v>39.28447977877635</v>
      </c>
      <c r="T38" s="90"/>
    </row>
    <row r="39" spans="1:20" s="74" customFormat="1" ht="24.75" customHeight="1">
      <c r="A39" s="122" t="s">
        <v>350</v>
      </c>
      <c r="B39" s="75"/>
      <c r="C39" s="84"/>
      <c r="D39" s="84"/>
      <c r="E39" s="75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89"/>
      <c r="T39" s="73"/>
    </row>
    <row r="40" spans="1:20" s="91" customFormat="1" ht="24.75" customHeight="1">
      <c r="A40" s="70"/>
      <c r="B40" s="70" t="s">
        <v>351</v>
      </c>
      <c r="C40" s="85"/>
      <c r="D40" s="85"/>
      <c r="E40" s="70"/>
      <c r="F40" s="112">
        <v>2</v>
      </c>
      <c r="G40" s="71">
        <v>2</v>
      </c>
      <c r="H40" s="71">
        <v>2</v>
      </c>
      <c r="I40" s="71">
        <v>2</v>
      </c>
      <c r="J40" s="71">
        <v>2</v>
      </c>
      <c r="K40" s="71">
        <v>2</v>
      </c>
      <c r="L40" s="71">
        <v>2</v>
      </c>
      <c r="M40" s="71">
        <v>2</v>
      </c>
      <c r="N40" s="71">
        <v>3</v>
      </c>
      <c r="O40" s="71">
        <v>3</v>
      </c>
      <c r="P40" s="71"/>
      <c r="Q40" s="334">
        <v>1893</v>
      </c>
      <c r="R40" s="71">
        <v>3</v>
      </c>
      <c r="S40" s="72">
        <f>(R40/Q40)*100</f>
        <v>0.15847860538827258</v>
      </c>
      <c r="T40" s="90"/>
    </row>
    <row r="41" spans="1:20" s="82" customFormat="1" ht="24.75" customHeight="1">
      <c r="A41" s="75"/>
      <c r="B41" s="75" t="s">
        <v>352</v>
      </c>
      <c r="C41" s="84"/>
      <c r="D41" s="84"/>
      <c r="E41" s="75"/>
      <c r="F41" s="76">
        <v>18</v>
      </c>
      <c r="G41" s="76">
        <v>18</v>
      </c>
      <c r="H41" s="76">
        <v>18</v>
      </c>
      <c r="I41" s="76">
        <v>18</v>
      </c>
      <c r="J41" s="76">
        <v>18</v>
      </c>
      <c r="K41" s="76">
        <v>18</v>
      </c>
      <c r="L41" s="76">
        <v>18</v>
      </c>
      <c r="M41" s="76">
        <v>18</v>
      </c>
      <c r="N41" s="76">
        <v>19</v>
      </c>
      <c r="O41" s="76">
        <v>18</v>
      </c>
      <c r="P41" s="76"/>
      <c r="Q41" s="336" t="s">
        <v>55</v>
      </c>
      <c r="R41" s="76">
        <v>18</v>
      </c>
      <c r="S41" s="77" t="s">
        <v>55</v>
      </c>
      <c r="T41" s="81"/>
    </row>
    <row r="42" spans="1:20" s="91" customFormat="1" ht="24.75" customHeight="1">
      <c r="A42" s="70"/>
      <c r="B42" s="70" t="s">
        <v>353</v>
      </c>
      <c r="C42" s="85"/>
      <c r="D42" s="85"/>
      <c r="E42" s="70"/>
      <c r="F42" s="71">
        <v>86</v>
      </c>
      <c r="G42" s="71">
        <v>86</v>
      </c>
      <c r="H42" s="71">
        <v>93</v>
      </c>
      <c r="I42" s="71">
        <v>99</v>
      </c>
      <c r="J42" s="71">
        <v>100</v>
      </c>
      <c r="K42" s="71">
        <v>100</v>
      </c>
      <c r="L42" s="71">
        <v>100</v>
      </c>
      <c r="M42" s="71">
        <v>100</v>
      </c>
      <c r="N42" s="71">
        <v>100</v>
      </c>
      <c r="O42" s="71">
        <v>100</v>
      </c>
      <c r="P42" s="71"/>
      <c r="Q42" s="334" t="s">
        <v>55</v>
      </c>
      <c r="R42" s="71">
        <v>100</v>
      </c>
      <c r="S42" s="72" t="s">
        <v>55</v>
      </c>
      <c r="T42" s="90"/>
    </row>
    <row r="43" spans="1:20" s="82" customFormat="1" ht="24.75" customHeight="1">
      <c r="A43" s="75"/>
      <c r="B43" s="75" t="s">
        <v>354</v>
      </c>
      <c r="C43" s="84"/>
      <c r="D43" s="84"/>
      <c r="E43" s="75"/>
      <c r="F43" s="76">
        <v>621</v>
      </c>
      <c r="G43" s="76">
        <v>644</v>
      </c>
      <c r="H43" s="76">
        <v>637</v>
      </c>
      <c r="I43" s="76">
        <v>662</v>
      </c>
      <c r="J43" s="76">
        <v>662</v>
      </c>
      <c r="K43" s="76">
        <v>665</v>
      </c>
      <c r="L43" s="76">
        <v>665</v>
      </c>
      <c r="M43" s="76">
        <v>667</v>
      </c>
      <c r="N43" s="76">
        <v>668</v>
      </c>
      <c r="O43" s="76">
        <v>668</v>
      </c>
      <c r="P43" s="76"/>
      <c r="Q43" s="336">
        <v>7388</v>
      </c>
      <c r="R43" s="76">
        <v>670</v>
      </c>
      <c r="S43" s="77">
        <f>(R43/Q43)*100</f>
        <v>9.068760151597184</v>
      </c>
      <c r="T43" s="81"/>
    </row>
    <row r="44" spans="1:20" s="91" customFormat="1" ht="24.75" customHeight="1">
      <c r="A44" s="70"/>
      <c r="B44" s="70" t="s">
        <v>355</v>
      </c>
      <c r="C44" s="85"/>
      <c r="D44" s="85"/>
      <c r="E44" s="70"/>
      <c r="F44" s="71">
        <v>27</v>
      </c>
      <c r="G44" s="71">
        <v>27</v>
      </c>
      <c r="H44" s="71">
        <v>27</v>
      </c>
      <c r="I44" s="71">
        <v>27</v>
      </c>
      <c r="J44" s="71">
        <v>27</v>
      </c>
      <c r="K44" s="71">
        <v>27</v>
      </c>
      <c r="L44" s="71">
        <v>27</v>
      </c>
      <c r="M44" s="71">
        <v>28</v>
      </c>
      <c r="N44" s="71">
        <v>30</v>
      </c>
      <c r="O44" s="71">
        <v>29</v>
      </c>
      <c r="P44" s="71"/>
      <c r="Q44" s="334">
        <v>1251</v>
      </c>
      <c r="R44" s="71">
        <v>29</v>
      </c>
      <c r="S44" s="72">
        <f>(R44/Q44)*100</f>
        <v>2.3181454836131095</v>
      </c>
      <c r="T44" s="90"/>
    </row>
    <row r="45" spans="1:20" s="82" customFormat="1" ht="24.75" customHeight="1">
      <c r="A45" s="122" t="s">
        <v>356</v>
      </c>
      <c r="B45" s="75"/>
      <c r="C45" s="84"/>
      <c r="D45" s="84"/>
      <c r="E45" s="75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89"/>
      <c r="T45" s="81"/>
    </row>
    <row r="46" spans="1:20" s="82" customFormat="1" ht="24.75" customHeight="1">
      <c r="A46" s="75"/>
      <c r="B46" s="75" t="s">
        <v>357</v>
      </c>
      <c r="C46" s="84"/>
      <c r="D46" s="84"/>
      <c r="E46" s="75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89"/>
      <c r="T46" s="81"/>
    </row>
    <row r="47" spans="1:20" s="91" customFormat="1" ht="24.75" customHeight="1">
      <c r="A47" s="70"/>
      <c r="B47" s="70" t="s">
        <v>386</v>
      </c>
      <c r="C47" s="85"/>
      <c r="D47" s="85"/>
      <c r="E47" s="70"/>
      <c r="F47" s="123">
        <v>218326</v>
      </c>
      <c r="G47" s="123">
        <v>221431</v>
      </c>
      <c r="H47" s="123">
        <v>234274</v>
      </c>
      <c r="I47" s="123">
        <v>234934</v>
      </c>
      <c r="J47" s="123">
        <v>246808</v>
      </c>
      <c r="K47" s="71">
        <v>256963</v>
      </c>
      <c r="L47" s="71">
        <v>269991</v>
      </c>
      <c r="M47" s="71">
        <v>268419</v>
      </c>
      <c r="N47" s="71">
        <v>261879</v>
      </c>
      <c r="O47" s="71">
        <v>269116</v>
      </c>
      <c r="P47" s="123"/>
      <c r="Q47" s="71">
        <v>1679914</v>
      </c>
      <c r="R47" s="334">
        <v>272996</v>
      </c>
      <c r="S47" s="72">
        <f aca="true" t="shared" si="1" ref="S47:S54">(R47/Q47)*100</f>
        <v>16.2505937803959</v>
      </c>
      <c r="T47" s="90"/>
    </row>
    <row r="48" spans="1:20" s="82" customFormat="1" ht="24.75" customHeight="1">
      <c r="A48" s="84"/>
      <c r="B48" s="84"/>
      <c r="C48" s="84" t="s">
        <v>358</v>
      </c>
      <c r="D48" s="84"/>
      <c r="E48" s="75"/>
      <c r="F48" s="76">
        <v>80183</v>
      </c>
      <c r="G48" s="76">
        <v>73809</v>
      </c>
      <c r="H48" s="76">
        <v>77347</v>
      </c>
      <c r="I48" s="76">
        <v>78896</v>
      </c>
      <c r="J48" s="76">
        <v>83456</v>
      </c>
      <c r="K48" s="76">
        <v>95181</v>
      </c>
      <c r="L48" s="76">
        <v>107364</v>
      </c>
      <c r="M48" s="76">
        <v>113294</v>
      </c>
      <c r="N48" s="76">
        <v>106064</v>
      </c>
      <c r="O48" s="76">
        <v>101723</v>
      </c>
      <c r="P48" s="76"/>
      <c r="Q48" s="76">
        <v>686965</v>
      </c>
      <c r="R48" s="336">
        <v>105397</v>
      </c>
      <c r="S48" s="77">
        <f t="shared" si="1"/>
        <v>15.34241191327069</v>
      </c>
      <c r="T48" s="81"/>
    </row>
    <row r="49" spans="1:20" s="91" customFormat="1" ht="24.75" customHeight="1">
      <c r="A49" s="85"/>
      <c r="B49" s="85"/>
      <c r="C49" s="85" t="s">
        <v>359</v>
      </c>
      <c r="D49" s="85"/>
      <c r="E49" s="70"/>
      <c r="F49" s="71">
        <v>6000</v>
      </c>
      <c r="G49" s="71">
        <v>5815</v>
      </c>
      <c r="H49" s="71">
        <v>5115</v>
      </c>
      <c r="I49" s="71">
        <v>2384</v>
      </c>
      <c r="J49" s="71">
        <v>2514</v>
      </c>
      <c r="K49" s="71">
        <v>2762</v>
      </c>
      <c r="L49" s="71">
        <v>2842</v>
      </c>
      <c r="M49" s="71">
        <v>2616</v>
      </c>
      <c r="N49" s="71">
        <v>3015</v>
      </c>
      <c r="O49" s="71">
        <v>3804</v>
      </c>
      <c r="P49" s="71"/>
      <c r="Q49" s="71">
        <v>35067</v>
      </c>
      <c r="R49" s="334">
        <v>3931</v>
      </c>
      <c r="S49" s="72">
        <f t="shared" si="1"/>
        <v>11.209969486982063</v>
      </c>
      <c r="T49" s="90"/>
    </row>
    <row r="50" spans="1:20" s="82" customFormat="1" ht="24.75" customHeight="1">
      <c r="A50" s="84"/>
      <c r="B50" s="84"/>
      <c r="C50" s="84" t="s">
        <v>360</v>
      </c>
      <c r="D50" s="84"/>
      <c r="E50" s="75"/>
      <c r="F50" s="76">
        <v>44945</v>
      </c>
      <c r="G50" s="76">
        <v>47204</v>
      </c>
      <c r="H50" s="76">
        <v>50650</v>
      </c>
      <c r="I50" s="76">
        <v>53248</v>
      </c>
      <c r="J50" s="76">
        <v>58489</v>
      </c>
      <c r="K50" s="76">
        <v>53505</v>
      </c>
      <c r="L50" s="76">
        <v>50206</v>
      </c>
      <c r="M50" s="76">
        <v>46782</v>
      </c>
      <c r="N50" s="76">
        <v>46138</v>
      </c>
      <c r="O50" s="76">
        <v>46184</v>
      </c>
      <c r="P50" s="76"/>
      <c r="Q50" s="76">
        <v>201904</v>
      </c>
      <c r="R50" s="336">
        <v>48811</v>
      </c>
      <c r="S50" s="77">
        <f t="shared" si="1"/>
        <v>24.17535066170061</v>
      </c>
      <c r="T50" s="81"/>
    </row>
    <row r="51" spans="1:20" s="91" customFormat="1" ht="24.75" customHeight="1">
      <c r="A51" s="85"/>
      <c r="B51" s="85"/>
      <c r="C51" s="85" t="s">
        <v>361</v>
      </c>
      <c r="D51" s="85"/>
      <c r="E51" s="70"/>
      <c r="F51" s="71">
        <v>15223</v>
      </c>
      <c r="G51" s="71">
        <v>15521</v>
      </c>
      <c r="H51" s="71">
        <v>16185</v>
      </c>
      <c r="I51" s="71">
        <v>18117</v>
      </c>
      <c r="J51" s="71">
        <v>19371</v>
      </c>
      <c r="K51" s="71">
        <v>18930</v>
      </c>
      <c r="L51" s="71">
        <v>18063</v>
      </c>
      <c r="M51" s="71">
        <v>15798</v>
      </c>
      <c r="N51" s="71">
        <v>11615</v>
      </c>
      <c r="O51" s="71">
        <v>9627</v>
      </c>
      <c r="P51" s="71"/>
      <c r="Q51" s="71">
        <v>116989</v>
      </c>
      <c r="R51" s="334">
        <v>9671</v>
      </c>
      <c r="S51" s="72">
        <f t="shared" si="1"/>
        <v>8.266589166502833</v>
      </c>
      <c r="T51" s="90"/>
    </row>
    <row r="52" spans="1:20" s="82" customFormat="1" ht="24.75" customHeight="1">
      <c r="A52" s="84"/>
      <c r="B52" s="84"/>
      <c r="C52" s="84" t="s">
        <v>685</v>
      </c>
      <c r="D52" s="84"/>
      <c r="E52" s="84"/>
      <c r="F52" s="76">
        <v>71975</v>
      </c>
      <c r="G52" s="76">
        <v>79082</v>
      </c>
      <c r="H52" s="76">
        <v>84977</v>
      </c>
      <c r="I52" s="76">
        <v>82289</v>
      </c>
      <c r="J52" s="76">
        <v>82978</v>
      </c>
      <c r="K52" s="76">
        <v>86585</v>
      </c>
      <c r="L52" s="76">
        <v>91516</v>
      </c>
      <c r="M52" s="76">
        <v>89929</v>
      </c>
      <c r="N52" s="76">
        <v>95047</v>
      </c>
      <c r="O52" s="76">
        <v>107778</v>
      </c>
      <c r="P52" s="76"/>
      <c r="Q52" s="76">
        <v>638989</v>
      </c>
      <c r="R52" s="336">
        <v>105186</v>
      </c>
      <c r="S52" s="77">
        <f t="shared" si="1"/>
        <v>16.461316235490752</v>
      </c>
      <c r="T52" s="81"/>
    </row>
    <row r="53" spans="1:20" s="91" customFormat="1" ht="24.75" customHeight="1">
      <c r="A53" s="70"/>
      <c r="B53" s="70" t="s">
        <v>686</v>
      </c>
      <c r="C53" s="85"/>
      <c r="D53" s="85"/>
      <c r="E53" s="70"/>
      <c r="F53" s="71">
        <v>34865</v>
      </c>
      <c r="G53" s="71">
        <v>40359</v>
      </c>
      <c r="H53" s="71">
        <v>39263</v>
      </c>
      <c r="I53" s="71">
        <v>36478</v>
      </c>
      <c r="J53" s="71">
        <v>41923</v>
      </c>
      <c r="K53" s="71">
        <v>31672</v>
      </c>
      <c r="L53" s="71">
        <v>22564</v>
      </c>
      <c r="M53" s="71">
        <v>13398</v>
      </c>
      <c r="N53" s="71">
        <v>9865</v>
      </c>
      <c r="O53" s="71">
        <v>8402</v>
      </c>
      <c r="P53" s="71"/>
      <c r="Q53" s="71">
        <v>31748</v>
      </c>
      <c r="R53" s="334" t="s">
        <v>688</v>
      </c>
      <c r="S53" s="72">
        <f t="shared" si="1"/>
        <v>0</v>
      </c>
      <c r="T53" s="90"/>
    </row>
    <row r="54" spans="1:20" s="82" customFormat="1" ht="24.75" customHeight="1">
      <c r="A54" s="75"/>
      <c r="B54" s="75" t="s">
        <v>689</v>
      </c>
      <c r="C54" s="84"/>
      <c r="D54" s="84"/>
      <c r="E54" s="75"/>
      <c r="F54" s="76">
        <v>20547</v>
      </c>
      <c r="G54" s="76">
        <v>22239</v>
      </c>
      <c r="H54" s="76">
        <v>16548</v>
      </c>
      <c r="I54" s="76">
        <v>13688</v>
      </c>
      <c r="J54" s="76">
        <v>11417</v>
      </c>
      <c r="K54" s="76">
        <v>11643</v>
      </c>
      <c r="L54" s="76">
        <v>1049</v>
      </c>
      <c r="M54" s="76">
        <v>1371</v>
      </c>
      <c r="N54" s="76">
        <v>1266</v>
      </c>
      <c r="O54" s="76">
        <v>1090</v>
      </c>
      <c r="P54" s="76"/>
      <c r="Q54" s="76">
        <v>5539</v>
      </c>
      <c r="R54" s="336">
        <v>1617</v>
      </c>
      <c r="S54" s="77">
        <f t="shared" si="1"/>
        <v>29.192995125473914</v>
      </c>
      <c r="T54" s="81"/>
    </row>
    <row r="55" spans="1:20" s="91" customFormat="1" ht="24.75" customHeight="1">
      <c r="A55" s="70"/>
      <c r="B55" s="70" t="s">
        <v>363</v>
      </c>
      <c r="C55" s="85"/>
      <c r="D55" s="85"/>
      <c r="E55" s="70"/>
      <c r="F55" s="71">
        <v>5046</v>
      </c>
      <c r="G55" s="71">
        <v>5751</v>
      </c>
      <c r="H55" s="71">
        <v>5999</v>
      </c>
      <c r="I55" s="71">
        <v>5725</v>
      </c>
      <c r="J55" s="71">
        <v>6225</v>
      </c>
      <c r="K55" s="71">
        <v>6371</v>
      </c>
      <c r="L55" s="71">
        <v>6064</v>
      </c>
      <c r="M55" s="71">
        <v>3717</v>
      </c>
      <c r="N55" s="71">
        <v>1143</v>
      </c>
      <c r="O55" s="71">
        <v>1712</v>
      </c>
      <c r="P55" s="71"/>
      <c r="Q55" s="71" t="s">
        <v>55</v>
      </c>
      <c r="R55" s="334">
        <v>1488</v>
      </c>
      <c r="S55" s="72" t="s">
        <v>55</v>
      </c>
      <c r="T55" s="90"/>
    </row>
    <row r="56" spans="1:19" s="74" customFormat="1" ht="24.75" customHeight="1">
      <c r="A56" s="79" t="s">
        <v>273</v>
      </c>
      <c r="B56" s="75"/>
      <c r="C56" s="84"/>
      <c r="D56" s="84"/>
      <c r="E56" s="75"/>
      <c r="F56" s="124"/>
      <c r="G56" s="124"/>
      <c r="H56" s="124"/>
      <c r="I56" s="236"/>
      <c r="J56" s="236"/>
      <c r="K56" s="124"/>
      <c r="L56" s="124"/>
      <c r="M56" s="124"/>
      <c r="N56" s="124"/>
      <c r="O56" s="124"/>
      <c r="P56" s="236"/>
      <c r="Q56" s="124"/>
      <c r="R56" s="124"/>
      <c r="S56" s="89"/>
    </row>
    <row r="57" spans="1:20" s="91" customFormat="1" ht="24.75" customHeight="1">
      <c r="A57" s="70"/>
      <c r="B57" s="70" t="s">
        <v>687</v>
      </c>
      <c r="C57" s="85"/>
      <c r="D57" s="85"/>
      <c r="E57" s="70"/>
      <c r="F57" s="71">
        <v>5663200</v>
      </c>
      <c r="G57" s="71">
        <v>5880200</v>
      </c>
      <c r="H57" s="71">
        <v>5796096</v>
      </c>
      <c r="I57" s="71">
        <v>6153272</v>
      </c>
      <c r="J57" s="71">
        <v>6064184</v>
      </c>
      <c r="K57" s="71">
        <v>6153446</v>
      </c>
      <c r="L57" s="71">
        <v>6472550</v>
      </c>
      <c r="M57" s="71">
        <v>6416966</v>
      </c>
      <c r="N57" s="71">
        <v>6798342</v>
      </c>
      <c r="O57" s="71">
        <v>7109325</v>
      </c>
      <c r="P57" s="71"/>
      <c r="Q57" s="71">
        <v>52675784</v>
      </c>
      <c r="R57" s="71">
        <v>7321803</v>
      </c>
      <c r="S57" s="72">
        <f>(R57/Q57)*100</f>
        <v>13.899751354436415</v>
      </c>
      <c r="T57" s="91">
        <f>R57/Q57*100</f>
        <v>13.899751354436415</v>
      </c>
    </row>
    <row r="58" spans="1:20" s="110" customFormat="1" ht="24.75" customHeight="1">
      <c r="A58" s="231"/>
      <c r="B58" s="231" t="s">
        <v>364</v>
      </c>
      <c r="C58" s="107"/>
      <c r="D58" s="107"/>
      <c r="E58" s="231"/>
      <c r="F58" s="86">
        <v>1344476</v>
      </c>
      <c r="G58" s="86">
        <v>1412998</v>
      </c>
      <c r="H58" s="86">
        <v>1492053</v>
      </c>
      <c r="I58" s="86">
        <v>1634342</v>
      </c>
      <c r="J58" s="86">
        <v>1768511</v>
      </c>
      <c r="K58" s="86">
        <v>1151669</v>
      </c>
      <c r="L58" s="76">
        <v>1728185</v>
      </c>
      <c r="M58" s="76">
        <v>1853122</v>
      </c>
      <c r="N58" s="76">
        <v>1871388</v>
      </c>
      <c r="O58" s="76">
        <v>1994012</v>
      </c>
      <c r="P58" s="86"/>
      <c r="Q58" s="76">
        <v>23543692</v>
      </c>
      <c r="R58" s="76">
        <v>2060256</v>
      </c>
      <c r="S58" s="77">
        <f>(R58/Q58)*100</f>
        <v>8.75077706589094</v>
      </c>
      <c r="T58" s="91">
        <f>R58/Q58*100</f>
        <v>8.75077706589094</v>
      </c>
    </row>
    <row r="59" spans="1:20" s="91" customFormat="1" ht="24.75" customHeight="1">
      <c r="A59" s="85"/>
      <c r="B59" s="85" t="s">
        <v>370</v>
      </c>
      <c r="C59" s="85"/>
      <c r="D59" s="85"/>
      <c r="E59" s="85"/>
      <c r="F59" s="71">
        <v>51993</v>
      </c>
      <c r="G59" s="71">
        <v>52614</v>
      </c>
      <c r="H59" s="71">
        <v>53582</v>
      </c>
      <c r="I59" s="71">
        <v>54738</v>
      </c>
      <c r="J59" s="71">
        <v>56004</v>
      </c>
      <c r="K59" s="71" t="s">
        <v>54</v>
      </c>
      <c r="L59" s="71" t="s">
        <v>54</v>
      </c>
      <c r="M59" s="71">
        <v>55743</v>
      </c>
      <c r="N59" s="71">
        <v>56370</v>
      </c>
      <c r="O59" s="71">
        <v>57701</v>
      </c>
      <c r="P59" s="71"/>
      <c r="Q59" s="71">
        <v>844641</v>
      </c>
      <c r="R59" s="71">
        <v>58421</v>
      </c>
      <c r="S59" s="72">
        <f>(R59/Q59)*100</f>
        <v>6.916666370682929</v>
      </c>
      <c r="T59" s="91">
        <f>R59/Q59*100</f>
        <v>6.916666370682929</v>
      </c>
    </row>
    <row r="60" spans="1:19" s="74" customFormat="1" ht="24.75" customHeight="1">
      <c r="A60" s="84"/>
      <c r="B60" s="84" t="s">
        <v>365</v>
      </c>
      <c r="C60" s="84"/>
      <c r="D60" s="84"/>
      <c r="E60" s="84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125"/>
      <c r="R60" s="76"/>
      <c r="S60" s="89"/>
    </row>
    <row r="61" spans="1:19" s="91" customFormat="1" ht="24.75" customHeight="1">
      <c r="A61" s="85"/>
      <c r="B61" s="85"/>
      <c r="C61" s="465" t="s">
        <v>371</v>
      </c>
      <c r="D61" s="465"/>
      <c r="E61" s="465"/>
      <c r="F61" s="71">
        <v>3472</v>
      </c>
      <c r="G61" s="71">
        <v>3111</v>
      </c>
      <c r="H61" s="71">
        <v>3272</v>
      </c>
      <c r="I61" s="71">
        <v>2883</v>
      </c>
      <c r="J61" s="71">
        <v>1285</v>
      </c>
      <c r="K61" s="71">
        <v>3607</v>
      </c>
      <c r="L61" s="71">
        <v>3973</v>
      </c>
      <c r="M61" s="71">
        <v>3923</v>
      </c>
      <c r="N61" s="71">
        <v>3906</v>
      </c>
      <c r="O61" s="71">
        <v>5510</v>
      </c>
      <c r="P61" s="71"/>
      <c r="Q61" s="71">
        <v>9192</v>
      </c>
      <c r="R61" s="71">
        <v>6408</v>
      </c>
      <c r="S61" s="72">
        <f>(R61/Q61)*100</f>
        <v>69.71279373368147</v>
      </c>
    </row>
    <row r="62" spans="1:19" s="74" customFormat="1" ht="24.75" customHeight="1">
      <c r="A62" s="84"/>
      <c r="B62" s="84"/>
      <c r="C62" s="84" t="s">
        <v>366</v>
      </c>
      <c r="D62" s="84"/>
      <c r="E62" s="84"/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1</v>
      </c>
      <c r="N62" s="76">
        <v>0</v>
      </c>
      <c r="O62" s="76">
        <v>1</v>
      </c>
      <c r="P62" s="76"/>
      <c r="Q62" s="76">
        <v>18</v>
      </c>
      <c r="R62" s="76">
        <v>1</v>
      </c>
      <c r="S62" s="77">
        <f>(R62/Q62)*100</f>
        <v>5.555555555555555</v>
      </c>
    </row>
    <row r="63" spans="1:19" s="74" customFormat="1" ht="24.75" customHeight="1">
      <c r="A63" s="84"/>
      <c r="B63" s="84"/>
      <c r="C63" s="84"/>
      <c r="D63" s="84"/>
      <c r="E63" s="84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1:19" s="74" customFormat="1" ht="24.75" customHeight="1">
      <c r="A64" s="106" t="s">
        <v>25</v>
      </c>
      <c r="B64" s="84"/>
      <c r="C64" s="84"/>
      <c r="D64" s="84"/>
      <c r="E64" s="84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89"/>
    </row>
    <row r="65" ht="15">
      <c r="A65" s="21"/>
    </row>
    <row r="66" spans="1:19" ht="18">
      <c r="A66" s="464"/>
      <c r="B66" s="464"/>
      <c r="C66" s="464"/>
      <c r="D66" s="464"/>
      <c r="E66" s="464"/>
      <c r="F66" s="464"/>
      <c r="G66" s="464"/>
      <c r="H66" s="464"/>
      <c r="I66" s="464"/>
      <c r="J66" s="464"/>
      <c r="K66" s="464"/>
      <c r="L66" s="464"/>
      <c r="M66" s="464"/>
      <c r="N66" s="464"/>
      <c r="O66" s="464"/>
      <c r="P66" s="464"/>
      <c r="Q66" s="464"/>
      <c r="R66" s="464"/>
      <c r="S66" s="464"/>
    </row>
    <row r="68" ht="15">
      <c r="A68" s="21"/>
    </row>
    <row r="69" ht="15">
      <c r="A69" s="21"/>
    </row>
    <row r="70" ht="15">
      <c r="A70" s="21"/>
    </row>
    <row r="74" ht="15">
      <c r="A74" s="21"/>
    </row>
  </sheetData>
  <sheetProtection/>
  <mergeCells count="19">
    <mergeCell ref="B16:E16"/>
    <mergeCell ref="C61:E61"/>
    <mergeCell ref="N4:N5"/>
    <mergeCell ref="Q4:S4"/>
    <mergeCell ref="C10:E10"/>
    <mergeCell ref="K4:K5"/>
    <mergeCell ref="M4:M5"/>
    <mergeCell ref="L4:L5"/>
    <mergeCell ref="O4:O5"/>
    <mergeCell ref="A66:S66"/>
    <mergeCell ref="R1:S1"/>
    <mergeCell ref="A4:E5"/>
    <mergeCell ref="F4:F5"/>
    <mergeCell ref="G4:G5"/>
    <mergeCell ref="P4:P5"/>
    <mergeCell ref="H4:H5"/>
    <mergeCell ref="I4:I5"/>
    <mergeCell ref="J4:J5"/>
    <mergeCell ref="B11:E11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scale="43" r:id="rId2"/>
  <headerFooter alignWithMargins="0">
    <oddHeader>&amp;C
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6"/>
  <sheetViews>
    <sheetView zoomScalePageLayoutView="0" workbookViewId="0" topLeftCell="A1">
      <selection activeCell="A1" sqref="A1"/>
    </sheetView>
  </sheetViews>
  <sheetFormatPr defaultColWidth="11.5546875" defaultRowHeight="15.75"/>
  <cols>
    <col min="1" max="1" width="37.10546875" style="339" customWidth="1"/>
    <col min="2" max="16384" width="11.5546875" style="339" customWidth="1"/>
  </cols>
  <sheetData>
    <row r="3" spans="1:12" ht="9.75">
      <c r="A3" s="343" t="s">
        <v>539</v>
      </c>
      <c r="B3" s="344"/>
      <c r="C3" s="344"/>
      <c r="L3" s="339" t="s">
        <v>540</v>
      </c>
    </row>
    <row r="4" ht="9.75">
      <c r="A4" s="340" t="s">
        <v>502</v>
      </c>
    </row>
    <row r="5" ht="9.75">
      <c r="A5" s="340" t="s">
        <v>535</v>
      </c>
    </row>
    <row r="7" spans="1:12" ht="9.75">
      <c r="A7" s="341" t="s">
        <v>404</v>
      </c>
      <c r="B7" s="340">
        <v>2003</v>
      </c>
      <c r="C7" s="340">
        <v>2004</v>
      </c>
      <c r="D7" s="340">
        <v>2005</v>
      </c>
      <c r="E7" s="340">
        <v>2006</v>
      </c>
      <c r="F7" s="340">
        <v>2007</v>
      </c>
      <c r="G7" s="340">
        <v>2008</v>
      </c>
      <c r="H7" s="340">
        <v>2009</v>
      </c>
      <c r="I7" s="340">
        <v>2010</v>
      </c>
      <c r="J7" s="340">
        <v>2011</v>
      </c>
      <c r="K7" s="340">
        <v>2012</v>
      </c>
      <c r="L7" s="340" t="s">
        <v>499</v>
      </c>
    </row>
    <row r="8" spans="1:12" ht="9.75">
      <c r="A8" s="341"/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</row>
    <row r="9" spans="1:12" ht="9.75">
      <c r="A9" s="341" t="s">
        <v>405</v>
      </c>
      <c r="B9" s="339">
        <v>10385857.0775</v>
      </c>
      <c r="C9" s="339">
        <v>10832003.968249999</v>
      </c>
      <c r="D9" s="339">
        <v>11160492.604000002</v>
      </c>
      <c r="E9" s="339">
        <v>11718671.740000002</v>
      </c>
      <c r="F9" s="339">
        <v>12087601.943750001</v>
      </c>
      <c r="G9" s="339">
        <v>12256863.4685</v>
      </c>
      <c r="H9" s="339">
        <v>11680749.352249999</v>
      </c>
      <c r="I9" s="339">
        <v>12277658.828499999</v>
      </c>
      <c r="J9" s="339">
        <v>12774558.7215</v>
      </c>
      <c r="K9" s="339">
        <v>13284369.493250001</v>
      </c>
      <c r="L9" s="339">
        <v>13426543.23025</v>
      </c>
    </row>
    <row r="10" spans="1:12" ht="9.75">
      <c r="A10" s="341" t="s">
        <v>406</v>
      </c>
      <c r="B10" s="339">
        <v>10118838.0775</v>
      </c>
      <c r="C10" s="339">
        <v>10553711.9685</v>
      </c>
      <c r="D10" s="339">
        <v>10873485.603750002</v>
      </c>
      <c r="E10" s="339">
        <v>11417292.740250003</v>
      </c>
      <c r="F10" s="339">
        <v>11776451.943500001</v>
      </c>
      <c r="G10" s="339">
        <v>11941199.4685</v>
      </c>
      <c r="H10" s="339">
        <v>11379940.3525</v>
      </c>
      <c r="I10" s="339">
        <v>11961178.828499999</v>
      </c>
      <c r="J10" s="339">
        <v>12445419.72175</v>
      </c>
      <c r="K10" s="339">
        <v>12941077.493250001</v>
      </c>
      <c r="L10" s="339">
        <v>13079600.70425</v>
      </c>
    </row>
    <row r="11" ht="9.75">
      <c r="A11" s="341"/>
    </row>
    <row r="12" spans="1:12" ht="20.25">
      <c r="A12" s="341" t="s">
        <v>500</v>
      </c>
      <c r="B12" s="339">
        <v>359229.606</v>
      </c>
      <c r="C12" s="339">
        <v>372648.91125</v>
      </c>
      <c r="D12" s="339">
        <v>354835.971</v>
      </c>
      <c r="E12" s="339">
        <v>379391.3345</v>
      </c>
      <c r="F12" s="339">
        <v>387882.657</v>
      </c>
      <c r="G12" s="339">
        <v>392983.98274999997</v>
      </c>
      <c r="H12" s="339">
        <v>383159.10575</v>
      </c>
      <c r="I12" s="339">
        <v>386055.5265</v>
      </c>
      <c r="J12" s="339">
        <v>377192.79175</v>
      </c>
      <c r="K12" s="339">
        <v>404478.6125</v>
      </c>
      <c r="L12" s="339">
        <v>405640.108</v>
      </c>
    </row>
    <row r="13" spans="1:12" ht="9.75">
      <c r="A13" s="341" t="s">
        <v>407</v>
      </c>
      <c r="B13" s="339">
        <v>3884165.10025</v>
      </c>
      <c r="C13" s="339">
        <v>4043150.9575</v>
      </c>
      <c r="D13" s="339">
        <v>4142410.1412500003</v>
      </c>
      <c r="E13" s="339">
        <v>4322842.578</v>
      </c>
      <c r="F13" s="339">
        <v>4385686.1525</v>
      </c>
      <c r="G13" s="339">
        <v>4365207.08875</v>
      </c>
      <c r="H13" s="339">
        <v>4094016.912</v>
      </c>
      <c r="I13" s="339">
        <v>4280609.06925</v>
      </c>
      <c r="J13" s="339">
        <v>4427597.81375</v>
      </c>
      <c r="K13" s="339">
        <v>4547999.37975</v>
      </c>
      <c r="L13" s="339">
        <v>4516802.75275</v>
      </c>
    </row>
    <row r="14" spans="1:12" ht="9.75">
      <c r="A14" s="341" t="s">
        <v>408</v>
      </c>
      <c r="B14" s="339">
        <v>1101350.114</v>
      </c>
      <c r="C14" s="339">
        <v>1118536.6432500002</v>
      </c>
      <c r="D14" s="339">
        <v>1119428.642</v>
      </c>
      <c r="E14" s="339">
        <v>1111413.362</v>
      </c>
      <c r="F14" s="339">
        <v>1095486.633</v>
      </c>
      <c r="G14" s="339">
        <v>1054690.951</v>
      </c>
      <c r="H14" s="339">
        <v>1012072.077</v>
      </c>
      <c r="I14" s="339">
        <v>1020992.713</v>
      </c>
      <c r="J14" s="339">
        <v>1017204.2377500001</v>
      </c>
      <c r="K14" s="339">
        <v>1026249.406</v>
      </c>
      <c r="L14" s="339">
        <v>1009275.659</v>
      </c>
    </row>
    <row r="15" spans="1:12" ht="20.25">
      <c r="A15" s="341" t="s">
        <v>409</v>
      </c>
      <c r="B15" s="339">
        <v>171256.25324999998</v>
      </c>
      <c r="C15" s="339">
        <v>192836.14324999996</v>
      </c>
      <c r="D15" s="339">
        <v>209382.56799999997</v>
      </c>
      <c r="E15" s="339">
        <v>234650.805</v>
      </c>
      <c r="F15" s="339">
        <v>249375.15375000003</v>
      </c>
      <c r="G15" s="339">
        <v>252551.74925</v>
      </c>
      <c r="H15" s="339">
        <v>255838.29000000004</v>
      </c>
      <c r="I15" s="339">
        <v>267404.94725</v>
      </c>
      <c r="J15" s="339">
        <v>285979.455</v>
      </c>
      <c r="K15" s="339">
        <v>292826.23225</v>
      </c>
      <c r="L15" s="339">
        <v>293271.091</v>
      </c>
    </row>
    <row r="16" spans="1:12" ht="9.75">
      <c r="A16" s="341" t="s">
        <v>410</v>
      </c>
      <c r="B16" s="339">
        <v>787138.5599999999</v>
      </c>
      <c r="C16" s="339">
        <v>842252.173</v>
      </c>
      <c r="D16" s="339">
        <v>872476.00625</v>
      </c>
      <c r="E16" s="339">
        <v>948296.02</v>
      </c>
      <c r="F16" s="339">
        <v>992914.21475</v>
      </c>
      <c r="G16" s="339">
        <v>1030709.53275</v>
      </c>
      <c r="H16" s="339">
        <v>968199.712</v>
      </c>
      <c r="I16" s="339">
        <v>975507.013</v>
      </c>
      <c r="J16" s="339">
        <v>1015099.00075</v>
      </c>
      <c r="K16" s="339">
        <v>1035854.32825</v>
      </c>
      <c r="L16" s="339">
        <v>989416.8945</v>
      </c>
    </row>
    <row r="17" spans="1:12" ht="9.75">
      <c r="A17" s="341" t="s">
        <v>411</v>
      </c>
      <c r="B17" s="339">
        <v>1824420.173</v>
      </c>
      <c r="C17" s="339">
        <v>1889525.9980000001</v>
      </c>
      <c r="D17" s="339">
        <v>1941122.9250000003</v>
      </c>
      <c r="E17" s="339">
        <v>2028482.3909999998</v>
      </c>
      <c r="F17" s="339">
        <v>2047910.1509999998</v>
      </c>
      <c r="G17" s="339">
        <v>2027254.85575</v>
      </c>
      <c r="H17" s="339">
        <v>1857906.833</v>
      </c>
      <c r="I17" s="339">
        <v>2016704.396</v>
      </c>
      <c r="J17" s="339">
        <v>2109315.1202499997</v>
      </c>
      <c r="K17" s="339">
        <v>2193069.41325</v>
      </c>
      <c r="L17" s="339">
        <v>2224839.1082500005</v>
      </c>
    </row>
    <row r="18" spans="1:12" ht="9.75">
      <c r="A18" s="341" t="s">
        <v>412</v>
      </c>
      <c r="B18" s="339">
        <v>5875443.371250001</v>
      </c>
      <c r="C18" s="339">
        <v>6137912.099749999</v>
      </c>
      <c r="D18" s="339">
        <v>6376239.4915000005</v>
      </c>
      <c r="E18" s="339">
        <v>6715058.827750002</v>
      </c>
      <c r="F18" s="339">
        <v>7002883.1340000015</v>
      </c>
      <c r="G18" s="339">
        <v>7183008.397000001</v>
      </c>
      <c r="H18" s="339">
        <v>6902764.33475</v>
      </c>
      <c r="I18" s="339">
        <v>7294514.2327499995</v>
      </c>
      <c r="J18" s="339">
        <v>7640629.116250001</v>
      </c>
      <c r="K18" s="339">
        <v>7988599.501</v>
      </c>
      <c r="L18" s="339">
        <v>8157157.8435</v>
      </c>
    </row>
    <row r="19" spans="1:12" ht="9.75">
      <c r="A19" s="341" t="s">
        <v>413</v>
      </c>
      <c r="B19" s="339">
        <v>1431038.858</v>
      </c>
      <c r="C19" s="339">
        <v>1519688.99225</v>
      </c>
      <c r="D19" s="339">
        <v>1602195.11025</v>
      </c>
      <c r="E19" s="339">
        <v>1713187.3250000002</v>
      </c>
      <c r="F19" s="339">
        <v>1783203.326</v>
      </c>
      <c r="G19" s="339">
        <v>1785940.4959999998</v>
      </c>
      <c r="H19" s="339">
        <v>1563520.202</v>
      </c>
      <c r="I19" s="339">
        <v>1749037.91275</v>
      </c>
      <c r="J19" s="339">
        <v>1919062.254</v>
      </c>
      <c r="K19" s="339">
        <v>2009660.52475</v>
      </c>
      <c r="L19" s="339">
        <v>2065368.5510000002</v>
      </c>
    </row>
    <row r="20" spans="1:12" ht="9.75">
      <c r="A20" s="341" t="s">
        <v>414</v>
      </c>
      <c r="B20" s="339">
        <v>614867.033</v>
      </c>
      <c r="C20" s="339">
        <v>638168.05825</v>
      </c>
      <c r="D20" s="339">
        <v>650555.091</v>
      </c>
      <c r="E20" s="339">
        <v>677733.932</v>
      </c>
      <c r="F20" s="339">
        <v>701084.936</v>
      </c>
      <c r="G20" s="339">
        <v>700557.0662499999</v>
      </c>
      <c r="H20" s="339">
        <v>650008.36</v>
      </c>
      <c r="I20" s="339">
        <v>700119.645</v>
      </c>
      <c r="J20" s="339">
        <v>728423.1950000001</v>
      </c>
      <c r="K20" s="339">
        <v>758125.55575</v>
      </c>
      <c r="L20" s="339">
        <v>769344.5925</v>
      </c>
    </row>
    <row r="21" spans="1:12" ht="9.75">
      <c r="A21" s="341" t="s">
        <v>417</v>
      </c>
      <c r="B21" s="339">
        <v>156175.038</v>
      </c>
      <c r="C21" s="339">
        <v>186655.58000000002</v>
      </c>
      <c r="D21" s="339">
        <v>218672.22600000002</v>
      </c>
      <c r="E21" s="339">
        <v>254095.71325</v>
      </c>
      <c r="F21" s="339">
        <v>306152.87399999995</v>
      </c>
      <c r="G21" s="339">
        <v>324483.76800000004</v>
      </c>
      <c r="H21" s="339">
        <v>351962.94725</v>
      </c>
      <c r="I21" s="339">
        <v>355337.09075</v>
      </c>
      <c r="J21" s="339">
        <v>371054.672</v>
      </c>
      <c r="K21" s="339">
        <v>432576.162</v>
      </c>
      <c r="L21" s="339">
        <v>455519.63749999995</v>
      </c>
    </row>
    <row r="22" spans="1:12" ht="9.75">
      <c r="A22" s="341" t="s">
        <v>415</v>
      </c>
      <c r="B22" s="339">
        <v>190059.91700000002</v>
      </c>
      <c r="C22" s="339">
        <v>218827.59225</v>
      </c>
      <c r="D22" s="339">
        <v>245336.841</v>
      </c>
      <c r="E22" s="339">
        <v>283783.744</v>
      </c>
      <c r="F22" s="339">
        <v>320270.211</v>
      </c>
      <c r="G22" s="339">
        <v>390549.67175</v>
      </c>
      <c r="H22" s="339">
        <v>403944.816</v>
      </c>
      <c r="I22" s="339">
        <v>488618.34900000005</v>
      </c>
      <c r="J22" s="339">
        <v>523317.55475</v>
      </c>
      <c r="K22" s="339">
        <v>567903.8077499999</v>
      </c>
      <c r="L22" s="339">
        <v>589595.11275</v>
      </c>
    </row>
    <row r="23" spans="1:12" ht="20.25">
      <c r="A23" s="341" t="s">
        <v>416</v>
      </c>
      <c r="B23" s="339">
        <v>1230277.91725</v>
      </c>
      <c r="C23" s="339">
        <v>1274279.78</v>
      </c>
      <c r="D23" s="339">
        <v>1303085.81375</v>
      </c>
      <c r="E23" s="339">
        <v>1357266.2389999998</v>
      </c>
      <c r="F23" s="339">
        <v>1402417.0732500001</v>
      </c>
      <c r="G23" s="339">
        <v>1448376.21925</v>
      </c>
      <c r="H23" s="339">
        <v>1464031.297</v>
      </c>
      <c r="I23" s="339">
        <v>1504543.8739999998</v>
      </c>
      <c r="J23" s="339">
        <v>1548509.867</v>
      </c>
      <c r="K23" s="339">
        <v>1588405.52525</v>
      </c>
      <c r="L23" s="339">
        <v>1611945.30725</v>
      </c>
    </row>
    <row r="24" spans="1:12" ht="9.75">
      <c r="A24" s="341" t="s">
        <v>418</v>
      </c>
      <c r="B24" s="339">
        <v>247026.533</v>
      </c>
      <c r="C24" s="339">
        <v>254741.67575</v>
      </c>
      <c r="D24" s="339">
        <v>262460.618</v>
      </c>
      <c r="E24" s="339">
        <v>270417.34900000005</v>
      </c>
      <c r="F24" s="339">
        <v>280116.872</v>
      </c>
      <c r="G24" s="339">
        <v>288855.071</v>
      </c>
      <c r="H24" s="339">
        <v>274463.408</v>
      </c>
      <c r="I24" s="339">
        <v>274170.534</v>
      </c>
      <c r="J24" s="339">
        <v>288288.463</v>
      </c>
      <c r="K24" s="339">
        <v>291559.544</v>
      </c>
      <c r="L24" s="339">
        <v>288577.70625</v>
      </c>
    </row>
    <row r="25" spans="1:12" ht="9.75">
      <c r="A25" s="341" t="s">
        <v>419</v>
      </c>
      <c r="B25" s="339">
        <v>56110.436</v>
      </c>
      <c r="C25" s="339">
        <v>58044.87424999999</v>
      </c>
      <c r="D25" s="339">
        <v>60645.136</v>
      </c>
      <c r="E25" s="339">
        <v>68291.421</v>
      </c>
      <c r="F25" s="339">
        <v>69163.25200000001</v>
      </c>
      <c r="G25" s="339">
        <v>74350.48000000001</v>
      </c>
      <c r="H25" s="339">
        <v>68244.149</v>
      </c>
      <c r="I25" s="339">
        <v>71834.88100000001</v>
      </c>
      <c r="J25" s="339">
        <v>74382.829</v>
      </c>
      <c r="K25" s="339">
        <v>79408.509</v>
      </c>
      <c r="L25" s="339">
        <v>74924.54425</v>
      </c>
    </row>
    <row r="26" spans="1:12" ht="20.25">
      <c r="A26" s="341" t="s">
        <v>420</v>
      </c>
      <c r="B26" s="339">
        <v>339673.878</v>
      </c>
      <c r="C26" s="339">
        <v>351788.78575</v>
      </c>
      <c r="D26" s="339">
        <v>364851.85575</v>
      </c>
      <c r="E26" s="339">
        <v>378364.11925</v>
      </c>
      <c r="F26" s="339">
        <v>390362.25025000004</v>
      </c>
      <c r="G26" s="339">
        <v>398773.36675000004</v>
      </c>
      <c r="H26" s="339">
        <v>370786.798</v>
      </c>
      <c r="I26" s="339">
        <v>373415.853</v>
      </c>
      <c r="J26" s="339">
        <v>395696.244</v>
      </c>
      <c r="K26" s="339">
        <v>413123.959</v>
      </c>
      <c r="L26" s="339">
        <v>429114.71125</v>
      </c>
    </row>
    <row r="27" spans="1:12" ht="9.75">
      <c r="A27" s="341" t="s">
        <v>421</v>
      </c>
      <c r="B27" s="339">
        <v>442838.07025</v>
      </c>
      <c r="C27" s="339">
        <v>448837.12100000004</v>
      </c>
      <c r="D27" s="339">
        <v>457137.382</v>
      </c>
      <c r="E27" s="339">
        <v>459204.27499999997</v>
      </c>
      <c r="F27" s="339">
        <v>466809.17000000004</v>
      </c>
      <c r="G27" s="339">
        <v>472158.819</v>
      </c>
      <c r="H27" s="339">
        <v>473027.372</v>
      </c>
      <c r="I27" s="339">
        <v>473852.311</v>
      </c>
      <c r="J27" s="339">
        <v>481280.556</v>
      </c>
      <c r="K27" s="339">
        <v>491994.029</v>
      </c>
      <c r="L27" s="339">
        <v>497356.9512499999</v>
      </c>
    </row>
    <row r="28" spans="1:12" ht="9.75">
      <c r="A28" s="341" t="s">
        <v>422</v>
      </c>
      <c r="B28" s="339">
        <v>214679.706</v>
      </c>
      <c r="C28" s="339">
        <v>217742.57200000001</v>
      </c>
      <c r="D28" s="339">
        <v>222056.71525</v>
      </c>
      <c r="E28" s="339">
        <v>241524.70299999998</v>
      </c>
      <c r="F28" s="339">
        <v>246939.75900000002</v>
      </c>
      <c r="G28" s="339">
        <v>250108.582</v>
      </c>
      <c r="H28" s="339">
        <v>255233.704</v>
      </c>
      <c r="I28" s="339">
        <v>254938.464</v>
      </c>
      <c r="J28" s="339">
        <v>260343.95799999998</v>
      </c>
      <c r="K28" s="339">
        <v>265943.179</v>
      </c>
      <c r="L28" s="339">
        <v>271270.20424999995</v>
      </c>
    </row>
    <row r="29" spans="1:12" ht="20.25">
      <c r="A29" s="341" t="s">
        <v>423</v>
      </c>
      <c r="B29" s="339">
        <v>51500.701</v>
      </c>
      <c r="C29" s="339">
        <v>52347.316999999995</v>
      </c>
      <c r="D29" s="339">
        <v>52101.28975</v>
      </c>
      <c r="E29" s="339">
        <v>54609.88875</v>
      </c>
      <c r="F29" s="339">
        <v>57193.876000000004</v>
      </c>
      <c r="G29" s="339">
        <v>57353.091</v>
      </c>
      <c r="H29" s="339">
        <v>55024.07175</v>
      </c>
      <c r="I29" s="339">
        <v>57296.04775</v>
      </c>
      <c r="J29" s="339">
        <v>56875.63525</v>
      </c>
      <c r="K29" s="339">
        <v>58546.84574999999</v>
      </c>
      <c r="L29" s="339">
        <v>58597.622</v>
      </c>
    </row>
    <row r="30" spans="1:12" ht="20.25">
      <c r="A30" s="341" t="s">
        <v>424</v>
      </c>
      <c r="B30" s="339">
        <v>250924.63</v>
      </c>
      <c r="C30" s="339">
        <v>260186.60824999996</v>
      </c>
      <c r="D30" s="339">
        <v>264034.358</v>
      </c>
      <c r="E30" s="339">
        <v>269382.439</v>
      </c>
      <c r="F30" s="339">
        <v>277657.72400000005</v>
      </c>
      <c r="G30" s="339">
        <v>277822.48199999996</v>
      </c>
      <c r="H30" s="339">
        <v>251067.364</v>
      </c>
      <c r="I30" s="339">
        <v>255904.59025</v>
      </c>
      <c r="J30" s="339">
        <v>259820.34425000002</v>
      </c>
      <c r="K30" s="339">
        <v>274065.44175</v>
      </c>
      <c r="L30" s="339">
        <v>279849.28875000007</v>
      </c>
    </row>
    <row r="31" spans="1:12" ht="9.75">
      <c r="A31" s="341" t="s">
        <v>425</v>
      </c>
      <c r="B31" s="339">
        <v>222665.36875000002</v>
      </c>
      <c r="C31" s="339">
        <v>228663.329</v>
      </c>
      <c r="D31" s="339">
        <v>235711.81100000002</v>
      </c>
      <c r="E31" s="339">
        <v>243353.87925</v>
      </c>
      <c r="F31" s="339">
        <v>252390.28875</v>
      </c>
      <c r="G31" s="339">
        <v>255615.21099999998</v>
      </c>
      <c r="H31" s="339">
        <v>254098.403</v>
      </c>
      <c r="I31" s="339">
        <v>256674.21324999997</v>
      </c>
      <c r="J31" s="339">
        <v>261470.462</v>
      </c>
      <c r="K31" s="339">
        <v>267042.922</v>
      </c>
      <c r="L31" s="339">
        <v>271522.64824999997</v>
      </c>
    </row>
    <row r="32" spans="1:12" ht="9.75">
      <c r="A32" s="341" t="s">
        <v>426</v>
      </c>
      <c r="B32" s="339">
        <v>427605.28500000003</v>
      </c>
      <c r="C32" s="339">
        <v>427939.814</v>
      </c>
      <c r="D32" s="339">
        <v>437395.24375</v>
      </c>
      <c r="E32" s="339">
        <v>443843.80025000003</v>
      </c>
      <c r="F32" s="339">
        <v>449121.52174999996</v>
      </c>
      <c r="G32" s="339">
        <v>458064.073</v>
      </c>
      <c r="H32" s="339">
        <v>467351.44275</v>
      </c>
      <c r="I32" s="339">
        <v>478770.46699999995</v>
      </c>
      <c r="J32" s="339">
        <v>472103.082</v>
      </c>
      <c r="K32" s="339">
        <v>490243.496</v>
      </c>
      <c r="L32" s="339">
        <v>494170.96624999994</v>
      </c>
    </row>
    <row r="33" spans="1:12" ht="9.75">
      <c r="A33" s="341" t="s">
        <v>427</v>
      </c>
      <c r="B33" s="339">
        <v>267019</v>
      </c>
      <c r="C33" s="339">
        <v>278291.99975</v>
      </c>
      <c r="D33" s="339">
        <v>287007.00025000004</v>
      </c>
      <c r="E33" s="339">
        <v>301378.99975</v>
      </c>
      <c r="F33" s="339">
        <v>311150.00025</v>
      </c>
      <c r="G33" s="339">
        <v>315664</v>
      </c>
      <c r="H33" s="339">
        <v>300808.99975</v>
      </c>
      <c r="I33" s="339">
        <v>316480</v>
      </c>
      <c r="J33" s="339">
        <v>329138.99975</v>
      </c>
      <c r="K33" s="339">
        <v>343292</v>
      </c>
      <c r="L33" s="339">
        <v>346942.526</v>
      </c>
    </row>
    <row r="34" ht="9.75">
      <c r="A34" s="341"/>
    </row>
    <row r="35" ht="9.75">
      <c r="A35" s="339" t="s">
        <v>537</v>
      </c>
    </row>
    <row r="36" ht="9.75">
      <c r="A36" s="339" t="s">
        <v>505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A1" sqref="A1"/>
    </sheetView>
  </sheetViews>
  <sheetFormatPr defaultColWidth="11.5546875" defaultRowHeight="15.75"/>
  <cols>
    <col min="1" max="1" width="41.10546875" style="339" customWidth="1"/>
    <col min="2" max="16384" width="11.5546875" style="339" customWidth="1"/>
  </cols>
  <sheetData>
    <row r="1" spans="1:12" ht="9.75">
      <c r="A1" s="343" t="s">
        <v>555</v>
      </c>
      <c r="B1" s="344"/>
      <c r="C1" s="344"/>
      <c r="L1" s="339" t="s">
        <v>556</v>
      </c>
    </row>
    <row r="2" ht="9.75">
      <c r="A2" s="340" t="s">
        <v>502</v>
      </c>
    </row>
    <row r="3" ht="9.75">
      <c r="A3" s="340" t="s">
        <v>29</v>
      </c>
    </row>
    <row r="5" spans="1:12" ht="9.75">
      <c r="A5" s="341" t="s">
        <v>404</v>
      </c>
      <c r="B5" s="340">
        <v>2003</v>
      </c>
      <c r="C5" s="340">
        <v>2004</v>
      </c>
      <c r="D5" s="340">
        <v>2005</v>
      </c>
      <c r="E5" s="340">
        <v>2006</v>
      </c>
      <c r="F5" s="340">
        <v>2007</v>
      </c>
      <c r="G5" s="340">
        <v>2008</v>
      </c>
      <c r="H5" s="340">
        <v>2009</v>
      </c>
      <c r="I5" s="340">
        <v>2010</v>
      </c>
      <c r="J5" s="340">
        <v>2011</v>
      </c>
      <c r="K5" s="340">
        <v>2012</v>
      </c>
      <c r="L5" s="340" t="s">
        <v>499</v>
      </c>
    </row>
    <row r="6" ht="9.75">
      <c r="A6" s="341"/>
    </row>
    <row r="7" spans="1:12" ht="9.75">
      <c r="A7" s="341" t="s">
        <v>405</v>
      </c>
      <c r="B7" s="339">
        <v>7695623.5682500005</v>
      </c>
      <c r="C7" s="339">
        <v>8693240.003</v>
      </c>
      <c r="D7" s="339">
        <v>9441350.139000002</v>
      </c>
      <c r="E7" s="339">
        <v>10538114.5025</v>
      </c>
      <c r="F7" s="339">
        <v>11403263.2925</v>
      </c>
      <c r="G7" s="339">
        <v>12256863.467750002</v>
      </c>
      <c r="H7" s="339">
        <v>12093889.910000002</v>
      </c>
      <c r="I7" s="339">
        <v>13282061.033</v>
      </c>
      <c r="J7" s="339">
        <v>14531460.619500002</v>
      </c>
      <c r="K7" s="339">
        <v>15588097.974999998</v>
      </c>
      <c r="L7" s="339">
        <v>16076939.686</v>
      </c>
    </row>
    <row r="8" spans="1:12" ht="9.75">
      <c r="A8" s="341" t="s">
        <v>406</v>
      </c>
      <c r="B8" s="339">
        <v>7302409.628250001</v>
      </c>
      <c r="C8" s="339">
        <v>8302881.136000001</v>
      </c>
      <c r="D8" s="339">
        <v>9045646.722750003</v>
      </c>
      <c r="E8" s="339">
        <v>10137324.3765</v>
      </c>
      <c r="F8" s="339">
        <v>10965935.2555</v>
      </c>
      <c r="G8" s="339">
        <v>11941199.467750002</v>
      </c>
      <c r="H8" s="339">
        <v>11589804.693750001</v>
      </c>
      <c r="I8" s="339">
        <v>12738678.458999999</v>
      </c>
      <c r="J8" s="339">
        <v>14025380.381500002</v>
      </c>
      <c r="K8" s="339">
        <v>15104901.975249998</v>
      </c>
      <c r="L8" s="339">
        <v>15479623.007000001</v>
      </c>
    </row>
    <row r="9" spans="1:12" ht="20.25">
      <c r="A9" s="341" t="s">
        <v>500</v>
      </c>
      <c r="B9" s="339">
        <v>261874.75050000002</v>
      </c>
      <c r="C9" s="339">
        <v>296844.05275</v>
      </c>
      <c r="D9" s="339">
        <v>304855.515</v>
      </c>
      <c r="E9" s="339">
        <v>340676.53275</v>
      </c>
      <c r="F9" s="339">
        <v>364075.69275</v>
      </c>
      <c r="G9" s="339">
        <v>392983.983</v>
      </c>
      <c r="H9" s="339">
        <v>408363.324</v>
      </c>
      <c r="I9" s="339">
        <v>440793.17625</v>
      </c>
      <c r="J9" s="339">
        <v>470274.2537499999</v>
      </c>
      <c r="K9" s="339">
        <v>531933.835</v>
      </c>
      <c r="L9" s="339">
        <v>539658.9172499999</v>
      </c>
    </row>
    <row r="10" spans="1:12" ht="9.75">
      <c r="A10" s="341" t="s">
        <v>407</v>
      </c>
      <c r="B10" s="339">
        <v>2461809.2212500004</v>
      </c>
      <c r="C10" s="339">
        <v>2937456.38925</v>
      </c>
      <c r="D10" s="339">
        <v>3181606.32775</v>
      </c>
      <c r="E10" s="339">
        <v>3686637.281</v>
      </c>
      <c r="F10" s="339">
        <v>3958699.74675</v>
      </c>
      <c r="G10" s="339">
        <v>4365207.089</v>
      </c>
      <c r="H10" s="339">
        <v>3974090.5265</v>
      </c>
      <c r="I10" s="339">
        <v>4469536.3345</v>
      </c>
      <c r="J10" s="339">
        <v>5094478.679750001</v>
      </c>
      <c r="K10" s="339">
        <v>5499034.935</v>
      </c>
      <c r="L10" s="339">
        <v>5392729.46425</v>
      </c>
    </row>
    <row r="11" spans="1:12" ht="9.75">
      <c r="A11" s="341" t="s">
        <v>408</v>
      </c>
      <c r="B11" s="339">
        <v>399758.179</v>
      </c>
      <c r="C11" s="339">
        <v>564694.9519999999</v>
      </c>
      <c r="D11" s="339">
        <v>694980.59725</v>
      </c>
      <c r="E11" s="339">
        <v>794968.345</v>
      </c>
      <c r="F11" s="339">
        <v>901738.595</v>
      </c>
      <c r="G11" s="339">
        <v>1054690.9510000001</v>
      </c>
      <c r="H11" s="339">
        <v>786997.37225</v>
      </c>
      <c r="I11" s="339">
        <v>966822.607</v>
      </c>
      <c r="J11" s="339">
        <v>1296646.1490000002</v>
      </c>
      <c r="K11" s="339">
        <v>1319478.21</v>
      </c>
      <c r="L11" s="339">
        <v>1217737.8314999999</v>
      </c>
    </row>
    <row r="12" spans="1:12" ht="20.25">
      <c r="A12" s="341" t="s">
        <v>409</v>
      </c>
      <c r="B12" s="339">
        <v>161013.679</v>
      </c>
      <c r="C12" s="339">
        <v>180787.25999999998</v>
      </c>
      <c r="D12" s="339">
        <v>196953.77225</v>
      </c>
      <c r="E12" s="339">
        <v>210857.69775</v>
      </c>
      <c r="F12" s="339">
        <v>227304.66600000003</v>
      </c>
      <c r="G12" s="339">
        <v>252551.749</v>
      </c>
      <c r="H12" s="339">
        <v>267384.496</v>
      </c>
      <c r="I12" s="339">
        <v>262368.20275</v>
      </c>
      <c r="J12" s="339">
        <v>256401.91975</v>
      </c>
      <c r="K12" s="339">
        <v>250764.28824999998</v>
      </c>
      <c r="L12" s="339">
        <v>257671.6485</v>
      </c>
    </row>
    <row r="13" spans="1:12" ht="9.75">
      <c r="A13" s="341" t="s">
        <v>410</v>
      </c>
      <c r="B13" s="339">
        <v>573494.34825</v>
      </c>
      <c r="C13" s="339">
        <v>677449.13225</v>
      </c>
      <c r="D13" s="339">
        <v>730040.65225</v>
      </c>
      <c r="E13" s="339">
        <v>848232.59125</v>
      </c>
      <c r="F13" s="339">
        <v>923691.099</v>
      </c>
      <c r="G13" s="339">
        <v>1030709.533</v>
      </c>
      <c r="H13" s="339">
        <v>991396.9070000001</v>
      </c>
      <c r="I13" s="339">
        <v>1040900.6410000001</v>
      </c>
      <c r="J13" s="339">
        <v>1151176.716</v>
      </c>
      <c r="K13" s="339">
        <v>1229042.75075</v>
      </c>
      <c r="L13" s="339">
        <v>1163065.8755</v>
      </c>
    </row>
    <row r="14" spans="1:12" ht="9.75">
      <c r="A14" s="341" t="s">
        <v>411</v>
      </c>
      <c r="B14" s="339">
        <v>1327543.0150000001</v>
      </c>
      <c r="C14" s="339">
        <v>1514525.045</v>
      </c>
      <c r="D14" s="339">
        <v>1559631.306</v>
      </c>
      <c r="E14" s="339">
        <v>1832578.6469999999</v>
      </c>
      <c r="F14" s="339">
        <v>1905965.38675</v>
      </c>
      <c r="G14" s="339">
        <v>2027254.8559999997</v>
      </c>
      <c r="H14" s="339">
        <v>1928311.75125</v>
      </c>
      <c r="I14" s="339">
        <v>2199444.88375</v>
      </c>
      <c r="J14" s="339">
        <v>2390253.8950000005</v>
      </c>
      <c r="K14" s="339">
        <v>2699749.6859999998</v>
      </c>
      <c r="L14" s="339">
        <v>2754254.10875</v>
      </c>
    </row>
    <row r="15" spans="1:12" ht="9.75">
      <c r="A15" s="341" t="s">
        <v>412</v>
      </c>
      <c r="B15" s="339">
        <v>4578725.6565000005</v>
      </c>
      <c r="C15" s="339">
        <v>5068580.694000001</v>
      </c>
      <c r="D15" s="339">
        <v>5559184.880000002</v>
      </c>
      <c r="E15" s="339">
        <v>6110010.56275</v>
      </c>
      <c r="F15" s="339">
        <v>6643159.816</v>
      </c>
      <c r="G15" s="339">
        <v>7183008.395750001</v>
      </c>
      <c r="H15" s="339">
        <v>7207350.84325</v>
      </c>
      <c r="I15" s="339">
        <v>7828348.948249999</v>
      </c>
      <c r="J15" s="339">
        <v>8460627.448</v>
      </c>
      <c r="K15" s="339">
        <v>9073933.205249999</v>
      </c>
      <c r="L15" s="339">
        <v>9547234.625500001</v>
      </c>
    </row>
    <row r="16" spans="1:12" ht="9.75">
      <c r="A16" s="341" t="s">
        <v>413</v>
      </c>
      <c r="B16" s="339">
        <v>1053860.642</v>
      </c>
      <c r="C16" s="339">
        <v>1219167.31875</v>
      </c>
      <c r="D16" s="339">
        <v>1352744.0777500002</v>
      </c>
      <c r="E16" s="339">
        <v>1505532.79775</v>
      </c>
      <c r="F16" s="339">
        <v>1627934.899</v>
      </c>
      <c r="G16" s="339">
        <v>1785940.49575</v>
      </c>
      <c r="H16" s="339">
        <v>1661551.91725</v>
      </c>
      <c r="I16" s="339">
        <v>1894385.73275</v>
      </c>
      <c r="J16" s="339">
        <v>2166439.44025</v>
      </c>
      <c r="K16" s="339">
        <v>2358855.013</v>
      </c>
      <c r="L16" s="339">
        <v>2516733.90075</v>
      </c>
    </row>
    <row r="17" spans="1:12" ht="9.75">
      <c r="A17" s="341" t="s">
        <v>414</v>
      </c>
      <c r="B17" s="339">
        <v>455387.968</v>
      </c>
      <c r="C17" s="339">
        <v>508440.52800000005</v>
      </c>
      <c r="D17" s="339">
        <v>558195.17125</v>
      </c>
      <c r="E17" s="339">
        <v>622037.295</v>
      </c>
      <c r="F17" s="339">
        <v>666691.31</v>
      </c>
      <c r="G17" s="339">
        <v>700557.066</v>
      </c>
      <c r="H17" s="339">
        <v>691370.596</v>
      </c>
      <c r="I17" s="339">
        <v>796764.5297500001</v>
      </c>
      <c r="J17" s="339">
        <v>859911.919</v>
      </c>
      <c r="K17" s="339">
        <v>946786.22425</v>
      </c>
      <c r="L17" s="339">
        <v>997960.66275</v>
      </c>
    </row>
    <row r="18" spans="1:12" ht="9.75">
      <c r="A18" s="341" t="s">
        <v>417</v>
      </c>
      <c r="B18" s="339">
        <v>162285.87075</v>
      </c>
      <c r="C18" s="339">
        <v>194483.00800000003</v>
      </c>
      <c r="D18" s="339">
        <v>226023.35675</v>
      </c>
      <c r="E18" s="339">
        <v>260112.05000000002</v>
      </c>
      <c r="F18" s="339">
        <v>308529.74275</v>
      </c>
      <c r="G18" s="339">
        <v>324483.76775</v>
      </c>
      <c r="H18" s="339">
        <v>340095.305</v>
      </c>
      <c r="I18" s="339">
        <v>353872.97075</v>
      </c>
      <c r="J18" s="339">
        <v>347337.97275</v>
      </c>
      <c r="K18" s="339">
        <v>348623.79699999996</v>
      </c>
      <c r="L18" s="339">
        <v>355719.98425000004</v>
      </c>
    </row>
    <row r="19" spans="1:12" ht="9.75">
      <c r="A19" s="341" t="s">
        <v>415</v>
      </c>
      <c r="B19" s="339">
        <v>186282.16375</v>
      </c>
      <c r="C19" s="339">
        <v>214477.55500000002</v>
      </c>
      <c r="D19" s="339">
        <v>278230.43374999997</v>
      </c>
      <c r="E19" s="339">
        <v>301572.66125</v>
      </c>
      <c r="F19" s="339">
        <v>356248.997</v>
      </c>
      <c r="G19" s="339">
        <v>390549.672</v>
      </c>
      <c r="H19" s="339">
        <v>409416.35125000007</v>
      </c>
      <c r="I19" s="339">
        <v>439976.40275</v>
      </c>
      <c r="J19" s="339">
        <v>452657.21675</v>
      </c>
      <c r="K19" s="339">
        <v>472839.449</v>
      </c>
      <c r="L19" s="339">
        <v>510493.7975</v>
      </c>
    </row>
    <row r="20" spans="1:12" ht="20.25">
      <c r="A20" s="341" t="s">
        <v>416</v>
      </c>
      <c r="B20" s="339">
        <v>993968.296</v>
      </c>
      <c r="C20" s="339">
        <v>1075104.074</v>
      </c>
      <c r="D20" s="339">
        <v>1143565.064</v>
      </c>
      <c r="E20" s="339">
        <v>1248268.04925</v>
      </c>
      <c r="F20" s="339">
        <v>1337494.113</v>
      </c>
      <c r="G20" s="339">
        <v>1448376.219</v>
      </c>
      <c r="H20" s="339">
        <v>1502829.08375</v>
      </c>
      <c r="I20" s="339">
        <v>1592103.10225</v>
      </c>
      <c r="J20" s="339">
        <v>1684534.4020000002</v>
      </c>
      <c r="K20" s="339">
        <v>1766301.243</v>
      </c>
      <c r="L20" s="339">
        <v>1829663.6184999999</v>
      </c>
    </row>
    <row r="21" spans="1:12" ht="9.75">
      <c r="A21" s="341" t="s">
        <v>418</v>
      </c>
      <c r="B21" s="339">
        <v>194765.89525</v>
      </c>
      <c r="C21" s="339">
        <v>215082.131</v>
      </c>
      <c r="D21" s="339">
        <v>232328.81874999998</v>
      </c>
      <c r="E21" s="339">
        <v>249203.15899999999</v>
      </c>
      <c r="F21" s="339">
        <v>268732.376</v>
      </c>
      <c r="G21" s="339">
        <v>288855.071</v>
      </c>
      <c r="H21" s="339">
        <v>283276.44000000006</v>
      </c>
      <c r="I21" s="339">
        <v>290670.01875000005</v>
      </c>
      <c r="J21" s="339">
        <v>314434.59375</v>
      </c>
      <c r="K21" s="339">
        <v>331041.601</v>
      </c>
      <c r="L21" s="339">
        <v>337725.134</v>
      </c>
    </row>
    <row r="22" spans="1:12" ht="9.75">
      <c r="A22" s="341" t="s">
        <v>419</v>
      </c>
      <c r="B22" s="339">
        <v>41001.998</v>
      </c>
      <c r="C22" s="339">
        <v>47647.164000000004</v>
      </c>
      <c r="D22" s="339">
        <v>52538.640999999996</v>
      </c>
      <c r="E22" s="339">
        <v>61625.681749999996</v>
      </c>
      <c r="F22" s="339">
        <v>63592.386</v>
      </c>
      <c r="G22" s="339">
        <v>74350.48</v>
      </c>
      <c r="H22" s="339">
        <v>70553.334</v>
      </c>
      <c r="I22" s="339">
        <v>75755.55225</v>
      </c>
      <c r="J22" s="339">
        <v>81002.563</v>
      </c>
      <c r="K22" s="339">
        <v>90275.542</v>
      </c>
      <c r="L22" s="339">
        <v>88319.01775</v>
      </c>
    </row>
    <row r="23" spans="1:12" ht="20.25">
      <c r="A23" s="341" t="s">
        <v>420</v>
      </c>
      <c r="B23" s="339">
        <v>266956.39</v>
      </c>
      <c r="C23" s="339">
        <v>289948.177</v>
      </c>
      <c r="D23" s="339">
        <v>317364.472</v>
      </c>
      <c r="E23" s="339">
        <v>344502.56200000003</v>
      </c>
      <c r="F23" s="339">
        <v>370458.543</v>
      </c>
      <c r="G23" s="339">
        <v>398773.36675000004</v>
      </c>
      <c r="H23" s="339">
        <v>394584.07100000005</v>
      </c>
      <c r="I23" s="339">
        <v>406126.85375</v>
      </c>
      <c r="J23" s="339">
        <v>443345.11125</v>
      </c>
      <c r="K23" s="339">
        <v>487950.57425</v>
      </c>
      <c r="L23" s="339">
        <v>517841.60525</v>
      </c>
    </row>
    <row r="24" spans="1:12" ht="9.75">
      <c r="A24" s="341" t="s">
        <v>421</v>
      </c>
      <c r="B24" s="339">
        <v>314316.49425</v>
      </c>
      <c r="C24" s="339">
        <v>332873.017</v>
      </c>
      <c r="D24" s="339">
        <v>366586.07375000004</v>
      </c>
      <c r="E24" s="339">
        <v>400484.505</v>
      </c>
      <c r="F24" s="339">
        <v>432886.755</v>
      </c>
      <c r="G24" s="339">
        <v>472158.81875</v>
      </c>
      <c r="H24" s="339">
        <v>499021.38</v>
      </c>
      <c r="I24" s="339">
        <v>529238.703</v>
      </c>
      <c r="J24" s="339">
        <v>567606.09475</v>
      </c>
      <c r="K24" s="339">
        <v>609244.912</v>
      </c>
      <c r="L24" s="339">
        <v>648180.9750000001</v>
      </c>
    </row>
    <row r="25" spans="1:12" ht="9.75">
      <c r="A25" s="341" t="s">
        <v>422</v>
      </c>
      <c r="B25" s="339">
        <v>170799.49775</v>
      </c>
      <c r="C25" s="339">
        <v>182248.20275</v>
      </c>
      <c r="D25" s="339">
        <v>190612.60775</v>
      </c>
      <c r="E25" s="339">
        <v>206535.10025</v>
      </c>
      <c r="F25" s="339">
        <v>223783.735</v>
      </c>
      <c r="G25" s="339">
        <v>250108.58174999998</v>
      </c>
      <c r="H25" s="339">
        <v>266248.191</v>
      </c>
      <c r="I25" s="339">
        <v>286603.85599999997</v>
      </c>
      <c r="J25" s="339">
        <v>310915.922</v>
      </c>
      <c r="K25" s="339">
        <v>330597.153</v>
      </c>
      <c r="L25" s="339">
        <v>349775.0085</v>
      </c>
    </row>
    <row r="26" spans="1:12" ht="20.25">
      <c r="A26" s="341" t="s">
        <v>423</v>
      </c>
      <c r="B26" s="339">
        <v>39881.825</v>
      </c>
      <c r="C26" s="339">
        <v>42534.306249999994</v>
      </c>
      <c r="D26" s="339">
        <v>44568.746</v>
      </c>
      <c r="E26" s="339">
        <v>49698.958</v>
      </c>
      <c r="F26" s="339">
        <v>54881.972250000006</v>
      </c>
      <c r="G26" s="339">
        <v>57353.091</v>
      </c>
      <c r="H26" s="339">
        <v>58097.818999999996</v>
      </c>
      <c r="I26" s="339">
        <v>63423.35075</v>
      </c>
      <c r="J26" s="339">
        <v>65279.180250000005</v>
      </c>
      <c r="K26" s="339">
        <v>68999.467</v>
      </c>
      <c r="L26" s="339">
        <v>71086.41500000001</v>
      </c>
    </row>
    <row r="27" spans="1:12" ht="20.25">
      <c r="A27" s="341" t="s">
        <v>424</v>
      </c>
      <c r="B27" s="339">
        <v>213678.795</v>
      </c>
      <c r="C27" s="339">
        <v>228732.18125</v>
      </c>
      <c r="D27" s="339">
        <v>240294.529</v>
      </c>
      <c r="E27" s="339">
        <v>253246.90575000003</v>
      </c>
      <c r="F27" s="339">
        <v>270780.44800000003</v>
      </c>
      <c r="G27" s="339">
        <v>277822.48225</v>
      </c>
      <c r="H27" s="339">
        <v>261804.46899999998</v>
      </c>
      <c r="I27" s="339">
        <v>279800.58325</v>
      </c>
      <c r="J27" s="339">
        <v>297561.187</v>
      </c>
      <c r="K27" s="339">
        <v>323169.58175</v>
      </c>
      <c r="L27" s="339">
        <v>340428.81799999997</v>
      </c>
    </row>
    <row r="28" spans="1:12" ht="9.75">
      <c r="A28" s="341" t="s">
        <v>425</v>
      </c>
      <c r="B28" s="339">
        <v>178973.572</v>
      </c>
      <c r="C28" s="339">
        <v>192369.18899999998</v>
      </c>
      <c r="D28" s="339">
        <v>206583.525</v>
      </c>
      <c r="E28" s="339">
        <v>224021.61175</v>
      </c>
      <c r="F28" s="339">
        <v>242127.183</v>
      </c>
      <c r="G28" s="339">
        <v>255615.211</v>
      </c>
      <c r="H28" s="339">
        <v>264594.74</v>
      </c>
      <c r="I28" s="339">
        <v>278669.31525000004</v>
      </c>
      <c r="J28" s="339">
        <v>291327.78725</v>
      </c>
      <c r="K28" s="339">
        <v>310566.46</v>
      </c>
      <c r="L28" s="339">
        <v>324563.04725</v>
      </c>
    </row>
    <row r="29" spans="1:12" ht="9.75">
      <c r="A29" s="341" t="s">
        <v>426</v>
      </c>
      <c r="B29" s="339">
        <v>306566.24875</v>
      </c>
      <c r="C29" s="339">
        <v>325473.842</v>
      </c>
      <c r="D29" s="339">
        <v>349549.36325000005</v>
      </c>
      <c r="E29" s="339">
        <v>383169.226</v>
      </c>
      <c r="F29" s="339">
        <v>419017.356</v>
      </c>
      <c r="G29" s="339">
        <v>458064.07275</v>
      </c>
      <c r="H29" s="339">
        <v>503907.146</v>
      </c>
      <c r="I29" s="339">
        <v>540957.977</v>
      </c>
      <c r="J29" s="339">
        <v>578274.058</v>
      </c>
      <c r="K29" s="339">
        <v>628682.1880000001</v>
      </c>
      <c r="L29" s="339">
        <v>658742.6410000001</v>
      </c>
    </row>
    <row r="30" spans="1:12" ht="9.75">
      <c r="A30" s="341" t="s">
        <v>427</v>
      </c>
      <c r="B30" s="339">
        <v>393213.93999999994</v>
      </c>
      <c r="C30" s="339">
        <v>390358.86699999997</v>
      </c>
      <c r="D30" s="339">
        <v>395703.41625</v>
      </c>
      <c r="E30" s="339">
        <v>400790.12600000005</v>
      </c>
      <c r="F30" s="339">
        <v>437328.037</v>
      </c>
      <c r="G30" s="339">
        <v>315664</v>
      </c>
      <c r="H30" s="339">
        <v>504085.21624999994</v>
      </c>
      <c r="I30" s="339">
        <v>543382.574</v>
      </c>
      <c r="J30" s="339">
        <v>506080.238</v>
      </c>
      <c r="K30" s="339">
        <v>483195.99974999996</v>
      </c>
      <c r="L30" s="339">
        <v>597316.679</v>
      </c>
    </row>
    <row r="31" ht="9.75">
      <c r="A31" s="341"/>
    </row>
    <row r="32" ht="9.75">
      <c r="A32" s="339" t="s">
        <v>537</v>
      </c>
    </row>
    <row r="33" ht="9.75">
      <c r="A33" s="339" t="s">
        <v>505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zoomScale="70" zoomScaleNormal="70" zoomScalePageLayoutView="0" workbookViewId="0" topLeftCell="A1">
      <selection activeCell="A1" sqref="A1"/>
    </sheetView>
  </sheetViews>
  <sheetFormatPr defaultColWidth="11.5546875" defaultRowHeight="15.75"/>
  <cols>
    <col min="1" max="1" width="39.4453125" style="310" customWidth="1"/>
    <col min="2" max="9" width="11.4453125" style="310" customWidth="1"/>
    <col min="10" max="16384" width="11.5546875" style="310" customWidth="1"/>
  </cols>
  <sheetData>
    <row r="1" spans="1:10" s="307" customFormat="1" ht="15.75" customHeight="1">
      <c r="A1" s="305" t="s">
        <v>403</v>
      </c>
      <c r="B1" s="305"/>
      <c r="C1" s="305"/>
      <c r="D1" s="305"/>
      <c r="E1" s="305"/>
      <c r="F1" s="305"/>
      <c r="G1" s="305"/>
      <c r="H1" s="306"/>
      <c r="I1" s="306"/>
      <c r="J1" s="306"/>
    </row>
    <row r="2" spans="1:10" s="307" customFormat="1" ht="15.75" customHeight="1">
      <c r="A2" s="305" t="s">
        <v>502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s="307" customFormat="1" ht="15.75" customHeight="1">
      <c r="A3" s="308" t="s">
        <v>501</v>
      </c>
      <c r="B3" s="308"/>
      <c r="C3" s="308"/>
      <c r="D3" s="308"/>
      <c r="E3" s="308"/>
      <c r="F3" s="308"/>
      <c r="G3" s="308"/>
      <c r="H3" s="308"/>
      <c r="I3" s="308"/>
      <c r="J3" s="308"/>
    </row>
    <row r="4" spans="1:10" ht="15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</row>
    <row r="5" spans="1:12" s="313" customFormat="1" ht="36" customHeight="1">
      <c r="A5" s="311" t="s">
        <v>404</v>
      </c>
      <c r="B5" s="312">
        <v>2003</v>
      </c>
      <c r="C5" s="312">
        <v>2004</v>
      </c>
      <c r="D5" s="312">
        <v>2005</v>
      </c>
      <c r="E5" s="312">
        <v>2006</v>
      </c>
      <c r="F5" s="312">
        <v>2007</v>
      </c>
      <c r="G5" s="312">
        <v>2008</v>
      </c>
      <c r="H5" s="312">
        <v>2009</v>
      </c>
      <c r="I5" s="312">
        <v>2010</v>
      </c>
      <c r="J5" s="312">
        <v>2011</v>
      </c>
      <c r="K5" s="312">
        <v>2012</v>
      </c>
      <c r="L5" s="312" t="s">
        <v>499</v>
      </c>
    </row>
    <row r="6" spans="1:12" ht="24.75" customHeight="1">
      <c r="A6" s="314" t="s">
        <v>405</v>
      </c>
      <c r="B6" s="315">
        <v>74.09714490412021</v>
      </c>
      <c r="C6" s="315">
        <v>80.25514049367973</v>
      </c>
      <c r="D6" s="315">
        <v>84.5961775523793</v>
      </c>
      <c r="E6" s="316">
        <v>89.92584429624101</v>
      </c>
      <c r="F6" s="316">
        <v>94.33850771695998</v>
      </c>
      <c r="G6" s="316">
        <v>99.99999999388099</v>
      </c>
      <c r="H6" s="316">
        <v>103.53693539079684</v>
      </c>
      <c r="I6" s="316">
        <v>108.18073069572915</v>
      </c>
      <c r="J6" s="316">
        <v>113.75313180128155</v>
      </c>
      <c r="K6" s="316">
        <v>117.3416471359108</v>
      </c>
      <c r="L6" s="316">
        <v>119.73997633120234</v>
      </c>
    </row>
    <row r="7" spans="1:12" ht="24.75" customHeight="1">
      <c r="A7" s="149" t="s">
        <v>406</v>
      </c>
      <c r="B7" s="317">
        <v>72.16648366463596</v>
      </c>
      <c r="C7" s="317">
        <v>78.6726145339372</v>
      </c>
      <c r="D7" s="317">
        <v>83.18994527045108</v>
      </c>
      <c r="E7" s="318">
        <v>88.78921305715792</v>
      </c>
      <c r="F7" s="318">
        <v>93.11747976479991</v>
      </c>
      <c r="G7" s="318">
        <v>99.99999999371924</v>
      </c>
      <c r="H7" s="318">
        <v>101.84416029213983</v>
      </c>
      <c r="I7" s="318">
        <v>106.50019234431514</v>
      </c>
      <c r="J7" s="318">
        <v>112.69511752174026</v>
      </c>
      <c r="K7" s="318">
        <v>116.72058978959548</v>
      </c>
      <c r="L7" s="318">
        <v>118.34935451791088</v>
      </c>
    </row>
    <row r="8" spans="1:12" ht="24.75" customHeight="1">
      <c r="A8" s="319" t="s">
        <v>500</v>
      </c>
      <c r="B8" s="317">
        <v>72.89898887120123</v>
      </c>
      <c r="C8" s="317">
        <v>79.65783443570974</v>
      </c>
      <c r="D8" s="317">
        <v>85.91449005039007</v>
      </c>
      <c r="E8" s="318">
        <v>89.79554928395446</v>
      </c>
      <c r="F8" s="318">
        <v>93.86232825305206</v>
      </c>
      <c r="G8" s="318">
        <v>100.00000006361583</v>
      </c>
      <c r="H8" s="318">
        <v>106.57800320330767</v>
      </c>
      <c r="I8" s="318">
        <v>114.17869865670735</v>
      </c>
      <c r="J8" s="318">
        <v>124.67742333254701</v>
      </c>
      <c r="K8" s="318">
        <v>131.51099182036478</v>
      </c>
      <c r="L8" s="318">
        <v>133.03884566809157</v>
      </c>
    </row>
    <row r="9" spans="1:12" s="321" customFormat="1" ht="24.75" customHeight="1">
      <c r="A9" s="320" t="s">
        <v>407</v>
      </c>
      <c r="B9" s="317">
        <v>63.38065344059521</v>
      </c>
      <c r="C9" s="317">
        <v>72.65265185810217</v>
      </c>
      <c r="D9" s="317">
        <v>76.8056812160548</v>
      </c>
      <c r="E9" s="318">
        <v>85.28270957083186</v>
      </c>
      <c r="F9" s="318">
        <v>90.26409116150269</v>
      </c>
      <c r="G9" s="318">
        <v>100.00000000572709</v>
      </c>
      <c r="H9" s="318">
        <v>97.07069149742682</v>
      </c>
      <c r="I9" s="318">
        <v>104.41356036474272</v>
      </c>
      <c r="J9" s="318">
        <v>115.06191153878042</v>
      </c>
      <c r="K9" s="318">
        <v>120.9110748669952</v>
      </c>
      <c r="L9" s="318">
        <v>119.39262702952223</v>
      </c>
    </row>
    <row r="10" spans="1:12" ht="24.75" customHeight="1">
      <c r="A10" s="322" t="s">
        <v>408</v>
      </c>
      <c r="B10" s="317">
        <v>36.297102430771616</v>
      </c>
      <c r="C10" s="317">
        <v>50.48515445674022</v>
      </c>
      <c r="D10" s="317">
        <v>62.0835103886863</v>
      </c>
      <c r="E10" s="318">
        <v>71.52769367190675</v>
      </c>
      <c r="F10" s="318">
        <v>82.3139751628535</v>
      </c>
      <c r="G10" s="318">
        <v>100.00000000000003</v>
      </c>
      <c r="H10" s="318">
        <v>77.7610004400902</v>
      </c>
      <c r="I10" s="318">
        <v>94.6943689890958</v>
      </c>
      <c r="J10" s="318">
        <v>127.47156380985103</v>
      </c>
      <c r="K10" s="318">
        <v>128.57285980246405</v>
      </c>
      <c r="L10" s="318">
        <v>120.65463192747026</v>
      </c>
    </row>
    <row r="11" spans="1:12" ht="24.75" customHeight="1">
      <c r="A11" s="323" t="s">
        <v>409</v>
      </c>
      <c r="B11" s="317">
        <v>94.01915313711328</v>
      </c>
      <c r="C11" s="317">
        <v>93.75175055519578</v>
      </c>
      <c r="D11" s="317">
        <v>94.0640733043259</v>
      </c>
      <c r="E11" s="318">
        <v>89.86020642460613</v>
      </c>
      <c r="F11" s="318">
        <v>91.14968455432982</v>
      </c>
      <c r="G11" s="318">
        <v>99.9999999010104</v>
      </c>
      <c r="H11" s="318">
        <v>104.51308754447975</v>
      </c>
      <c r="I11" s="318">
        <v>98.11643555895354</v>
      </c>
      <c r="J11" s="318">
        <v>89.65746149491753</v>
      </c>
      <c r="K11" s="318">
        <v>85.63586886434078</v>
      </c>
      <c r="L11" s="318">
        <v>87.86125070199981</v>
      </c>
    </row>
    <row r="12" spans="1:12" ht="24.75" customHeight="1">
      <c r="A12" s="322" t="s">
        <v>410</v>
      </c>
      <c r="B12" s="317">
        <v>72.85811893778906</v>
      </c>
      <c r="C12" s="317">
        <v>80.43305247132916</v>
      </c>
      <c r="D12" s="317">
        <v>83.67458211117999</v>
      </c>
      <c r="E12" s="318">
        <v>89.44808091148585</v>
      </c>
      <c r="F12" s="318">
        <v>93.02828837359033</v>
      </c>
      <c r="G12" s="318">
        <v>100.00000002425513</v>
      </c>
      <c r="H12" s="318">
        <v>102.39591013222693</v>
      </c>
      <c r="I12" s="318">
        <v>106.70355283237723</v>
      </c>
      <c r="J12" s="318">
        <v>113.40536392504177</v>
      </c>
      <c r="K12" s="318">
        <v>118.65015352365013</v>
      </c>
      <c r="L12" s="318">
        <v>117.55063835732795</v>
      </c>
    </row>
    <row r="13" spans="1:12" ht="24.75" customHeight="1">
      <c r="A13" s="322" t="s">
        <v>411</v>
      </c>
      <c r="B13" s="317">
        <v>72.76520149506153</v>
      </c>
      <c r="C13" s="317">
        <v>80.15370238901576</v>
      </c>
      <c r="D13" s="317">
        <v>80.34685933143568</v>
      </c>
      <c r="E13" s="318">
        <v>90.3423492918061</v>
      </c>
      <c r="F13" s="318">
        <v>93.06879922536211</v>
      </c>
      <c r="G13" s="318">
        <v>100.00000001233194</v>
      </c>
      <c r="H13" s="318">
        <v>103.78947517709032</v>
      </c>
      <c r="I13" s="318">
        <v>109.06134226277553</v>
      </c>
      <c r="J13" s="318">
        <v>113.3189570421656</v>
      </c>
      <c r="K13" s="318">
        <v>123.10370431910447</v>
      </c>
      <c r="L13" s="318">
        <v>123.79565329182043</v>
      </c>
    </row>
    <row r="14" spans="1:12" ht="24.75" customHeight="1">
      <c r="A14" s="320" t="s">
        <v>412</v>
      </c>
      <c r="B14" s="317">
        <v>77.92987468664644</v>
      </c>
      <c r="C14" s="317">
        <v>82.5782548141484</v>
      </c>
      <c r="D14" s="317">
        <v>87.18594851104334</v>
      </c>
      <c r="E14" s="318">
        <v>90.98968035098012</v>
      </c>
      <c r="F14" s="318">
        <v>94.86321117864307</v>
      </c>
      <c r="G14" s="318">
        <v>99.99999998259781</v>
      </c>
      <c r="H14" s="318">
        <v>104.41252944080163</v>
      </c>
      <c r="I14" s="318">
        <v>107.31830384404839</v>
      </c>
      <c r="J14" s="318">
        <v>110.7320787238061</v>
      </c>
      <c r="K14" s="318">
        <v>113.58603224650501</v>
      </c>
      <c r="L14" s="318">
        <v>117.04119018743371</v>
      </c>
    </row>
    <row r="15" spans="1:12" ht="24.75" customHeight="1">
      <c r="A15" s="323" t="s">
        <v>413</v>
      </c>
      <c r="B15" s="317">
        <v>73.64304862223385</v>
      </c>
      <c r="C15" s="317">
        <v>80.22479105707954</v>
      </c>
      <c r="D15" s="317">
        <v>84.43067071518672</v>
      </c>
      <c r="E15" s="318">
        <v>87.8790530247473</v>
      </c>
      <c r="F15" s="318">
        <v>91.29272446186543</v>
      </c>
      <c r="G15" s="318">
        <v>99.99999998600178</v>
      </c>
      <c r="H15" s="318">
        <v>106.2699359512337</v>
      </c>
      <c r="I15" s="318">
        <v>108.31015834136326</v>
      </c>
      <c r="J15" s="318">
        <v>112.8905243034393</v>
      </c>
      <c r="K15" s="318">
        <v>117.37579476481179</v>
      </c>
      <c r="L15" s="318">
        <v>121.85398579500301</v>
      </c>
    </row>
    <row r="16" spans="1:12" ht="24.75" customHeight="1">
      <c r="A16" s="323" t="s">
        <v>414</v>
      </c>
      <c r="B16" s="317">
        <v>74.06283693209487</v>
      </c>
      <c r="C16" s="317">
        <v>79.6718860223525</v>
      </c>
      <c r="D16" s="317">
        <v>85.80290569888108</v>
      </c>
      <c r="E16" s="318">
        <v>91.78193176256667</v>
      </c>
      <c r="F16" s="318">
        <v>95.09422835466545</v>
      </c>
      <c r="G16" s="318">
        <v>99.99999996431413</v>
      </c>
      <c r="H16" s="318">
        <v>106.3633390807466</v>
      </c>
      <c r="I16" s="318">
        <v>113.80405269873552</v>
      </c>
      <c r="J16" s="318">
        <v>118.05114456850869</v>
      </c>
      <c r="K16" s="318">
        <v>124.88514825401991</v>
      </c>
      <c r="L16" s="318">
        <v>129.71569209411192</v>
      </c>
    </row>
    <row r="17" spans="1:12" ht="24.75" customHeight="1">
      <c r="A17" s="323" t="s">
        <v>417</v>
      </c>
      <c r="B17" s="317">
        <v>103.91281015728006</v>
      </c>
      <c r="C17" s="317">
        <v>104.1935140647818</v>
      </c>
      <c r="D17" s="317">
        <v>103.36171213165406</v>
      </c>
      <c r="E17" s="318">
        <v>102.36774429330127</v>
      </c>
      <c r="F17" s="318">
        <v>100.77636662982951</v>
      </c>
      <c r="G17" s="318">
        <v>99.99999992295453</v>
      </c>
      <c r="H17" s="318">
        <v>96.6281557923282</v>
      </c>
      <c r="I17" s="318">
        <v>99.58796308122247</v>
      </c>
      <c r="J17" s="318">
        <v>93.60830059835496</v>
      </c>
      <c r="K17" s="318">
        <v>80.5924661655304</v>
      </c>
      <c r="L17" s="318">
        <v>78.09103164075995</v>
      </c>
    </row>
    <row r="18" spans="1:12" ht="24.75" customHeight="1">
      <c r="A18" s="323" t="s">
        <v>415</v>
      </c>
      <c r="B18" s="317">
        <v>98.01233563097892</v>
      </c>
      <c r="C18" s="317">
        <v>98.01211665984505</v>
      </c>
      <c r="D18" s="317">
        <v>113.40752274135623</v>
      </c>
      <c r="E18" s="318">
        <v>106.26847648116164</v>
      </c>
      <c r="F18" s="318">
        <v>111.23388462750286</v>
      </c>
      <c r="G18" s="318">
        <v>100.00000006401235</v>
      </c>
      <c r="H18" s="318">
        <v>101.3545254285427</v>
      </c>
      <c r="I18" s="318">
        <v>90.0450021270077</v>
      </c>
      <c r="J18" s="318">
        <v>86.49761748700445</v>
      </c>
      <c r="K18" s="318">
        <v>83.26048224141354</v>
      </c>
      <c r="L18" s="318">
        <v>86.58379054720209</v>
      </c>
    </row>
    <row r="19" spans="1:12" ht="24.75" customHeight="1">
      <c r="A19" s="323" t="s">
        <v>416</v>
      </c>
      <c r="B19" s="317">
        <v>80.79217565912138</v>
      </c>
      <c r="C19" s="317">
        <v>84.3695466940549</v>
      </c>
      <c r="D19" s="317">
        <v>87.7582314175508</v>
      </c>
      <c r="E19" s="318">
        <v>91.96928453548605</v>
      </c>
      <c r="F19" s="318">
        <v>95.37063820112044</v>
      </c>
      <c r="G19" s="318">
        <v>99.99999998273928</v>
      </c>
      <c r="H19" s="318">
        <v>102.65006539337662</v>
      </c>
      <c r="I19" s="318">
        <v>105.81965270425873</v>
      </c>
      <c r="J19" s="318">
        <v>108.78422139237168</v>
      </c>
      <c r="K19" s="318">
        <v>111.19964108170683</v>
      </c>
      <c r="L19" s="318">
        <v>113.50655697006434</v>
      </c>
    </row>
    <row r="20" spans="1:12" ht="24.75" customHeight="1">
      <c r="A20" s="323" t="s">
        <v>418</v>
      </c>
      <c r="B20" s="317">
        <v>78.8441196517137</v>
      </c>
      <c r="C20" s="317">
        <v>84.43146586311957</v>
      </c>
      <c r="D20" s="317">
        <v>88.51949695172932</v>
      </c>
      <c r="E20" s="318">
        <v>92.15501887047934</v>
      </c>
      <c r="F20" s="318">
        <v>95.93580496643558</v>
      </c>
      <c r="G20" s="318">
        <v>100</v>
      </c>
      <c r="H20" s="318">
        <v>103.2110043609165</v>
      </c>
      <c r="I20" s="318">
        <v>106.01796426088592</v>
      </c>
      <c r="J20" s="318">
        <v>109.06943360754606</v>
      </c>
      <c r="K20" s="318">
        <v>113.54167881398527</v>
      </c>
      <c r="L20" s="318">
        <v>117.03091634785632</v>
      </c>
    </row>
    <row r="21" spans="1:12" ht="24.75" customHeight="1">
      <c r="A21" s="323" t="s">
        <v>419</v>
      </c>
      <c r="B21" s="317">
        <v>73.07374692294317</v>
      </c>
      <c r="C21" s="317">
        <v>82.08677271792007</v>
      </c>
      <c r="D21" s="317">
        <v>86.63290160648663</v>
      </c>
      <c r="E21" s="318">
        <v>90.23927288026412</v>
      </c>
      <c r="F21" s="318">
        <v>91.94533825563897</v>
      </c>
      <c r="G21" s="318">
        <v>99.99999999999997</v>
      </c>
      <c r="H21" s="318">
        <v>103.38371132739891</v>
      </c>
      <c r="I21" s="318">
        <v>105.45789342923806</v>
      </c>
      <c r="J21" s="318">
        <v>108.8995458884738</v>
      </c>
      <c r="K21" s="318">
        <v>113.68497297940704</v>
      </c>
      <c r="L21" s="318">
        <v>117.87728391821348</v>
      </c>
    </row>
    <row r="22" spans="1:12" ht="24.75" customHeight="1">
      <c r="A22" s="323" t="s">
        <v>420</v>
      </c>
      <c r="B22" s="317">
        <v>78.59196932417629</v>
      </c>
      <c r="C22" s="317">
        <v>82.42109718814424</v>
      </c>
      <c r="D22" s="317">
        <v>86.98447520504355</v>
      </c>
      <c r="E22" s="318">
        <v>91.0505368962784</v>
      </c>
      <c r="F22" s="318">
        <v>94.90122130476163</v>
      </c>
      <c r="G22" s="318">
        <v>100</v>
      </c>
      <c r="H22" s="318">
        <v>106.4180475487156</v>
      </c>
      <c r="I22" s="318">
        <v>108.75993894935145</v>
      </c>
      <c r="J22" s="318">
        <v>112.04177900915329</v>
      </c>
      <c r="K22" s="318">
        <v>118.11238821179093</v>
      </c>
      <c r="L22" s="318">
        <v>120.67673087728474</v>
      </c>
    </row>
    <row r="23" spans="1:12" ht="24.75" customHeight="1">
      <c r="A23" s="323" t="s">
        <v>421</v>
      </c>
      <c r="B23" s="317">
        <v>70.97774906131164</v>
      </c>
      <c r="C23" s="317">
        <v>74.16343288593546</v>
      </c>
      <c r="D23" s="317">
        <v>80.19166407834922</v>
      </c>
      <c r="E23" s="318">
        <v>87.21271268652715</v>
      </c>
      <c r="F23" s="318">
        <v>92.7331301139607</v>
      </c>
      <c r="G23" s="318">
        <v>99.9999999470517</v>
      </c>
      <c r="H23" s="318">
        <v>105.49524394118994</v>
      </c>
      <c r="I23" s="318">
        <v>111.68853474263207</v>
      </c>
      <c r="J23" s="318">
        <v>117.93663543515356</v>
      </c>
      <c r="K23" s="318">
        <v>123.83176951117024</v>
      </c>
      <c r="L23" s="318">
        <v>130.32510621816712</v>
      </c>
    </row>
    <row r="24" spans="1:12" ht="24.75" customHeight="1">
      <c r="A24" s="323" t="s">
        <v>422</v>
      </c>
      <c r="B24" s="317">
        <v>79.56015076245725</v>
      </c>
      <c r="C24" s="317">
        <v>83.6989299226244</v>
      </c>
      <c r="D24" s="317">
        <v>85.8396052267102</v>
      </c>
      <c r="E24" s="318">
        <v>85.51303352601578</v>
      </c>
      <c r="F24" s="318">
        <v>90.62280448730816</v>
      </c>
      <c r="G24" s="318">
        <v>99.9999999000434</v>
      </c>
      <c r="H24" s="318">
        <v>104.31545161449367</v>
      </c>
      <c r="I24" s="318">
        <v>112.42079814209596</v>
      </c>
      <c r="J24" s="318">
        <v>119.4250576769675</v>
      </c>
      <c r="K24" s="318">
        <v>124.31119844589058</v>
      </c>
      <c r="L24" s="318">
        <v>128.93970772317138</v>
      </c>
    </row>
    <row r="25" spans="1:12" ht="24.75" customHeight="1">
      <c r="A25" s="323" t="s">
        <v>423</v>
      </c>
      <c r="B25" s="317">
        <v>77.43938281539118</v>
      </c>
      <c r="C25" s="317">
        <v>81.2540330385987</v>
      </c>
      <c r="D25" s="317">
        <v>85.54250041382132</v>
      </c>
      <c r="E25" s="318">
        <v>91.00725003765916</v>
      </c>
      <c r="F25" s="318">
        <v>95.95777745505481</v>
      </c>
      <c r="G25" s="318">
        <v>100</v>
      </c>
      <c r="H25" s="318">
        <v>105.58618646756179</v>
      </c>
      <c r="I25" s="318">
        <v>110.69411109599613</v>
      </c>
      <c r="J25" s="318">
        <v>114.77529870754279</v>
      </c>
      <c r="K25" s="318">
        <v>117.85343192463962</v>
      </c>
      <c r="L25" s="318">
        <v>121.3127983248194</v>
      </c>
    </row>
    <row r="26" spans="1:12" ht="24.75" customHeight="1">
      <c r="A26" s="323" t="s">
        <v>424</v>
      </c>
      <c r="B26" s="317">
        <v>85.15656474216979</v>
      </c>
      <c r="C26" s="317">
        <v>87.91082015651742</v>
      </c>
      <c r="D26" s="317">
        <v>91.00881067910109</v>
      </c>
      <c r="E26" s="318">
        <v>94.01017627210659</v>
      </c>
      <c r="F26" s="318">
        <v>97.52311014405636</v>
      </c>
      <c r="G26" s="318">
        <v>100.00000008998553</v>
      </c>
      <c r="H26" s="318">
        <v>104.27658331570326</v>
      </c>
      <c r="I26" s="318">
        <v>109.3378524303356</v>
      </c>
      <c r="J26" s="318">
        <v>114.52574580290971</v>
      </c>
      <c r="K26" s="318">
        <v>117.91693972302878</v>
      </c>
      <c r="L26" s="318">
        <v>121.64719786160254</v>
      </c>
    </row>
    <row r="27" spans="1:12" ht="24.75" customHeight="1">
      <c r="A27" s="323" t="s">
        <v>425</v>
      </c>
      <c r="B27" s="317">
        <v>80.37782121428346</v>
      </c>
      <c r="C27" s="317">
        <v>84.12769543821344</v>
      </c>
      <c r="D27" s="317">
        <v>87.64241559367595</v>
      </c>
      <c r="E27" s="318">
        <v>92.05590329622822</v>
      </c>
      <c r="F27" s="318">
        <v>95.93363682856835</v>
      </c>
      <c r="G27" s="318">
        <v>100.00000000000003</v>
      </c>
      <c r="H27" s="318">
        <v>104.13081580839372</v>
      </c>
      <c r="I27" s="318">
        <v>108.56926830377655</v>
      </c>
      <c r="J27" s="318">
        <v>111.41900504616082</v>
      </c>
      <c r="K27" s="318">
        <v>116.29833049834588</v>
      </c>
      <c r="L27" s="318">
        <v>119.53442902161295</v>
      </c>
    </row>
    <row r="28" spans="1:12" ht="24.75" customHeight="1">
      <c r="A28" s="323" t="s">
        <v>426</v>
      </c>
      <c r="B28" s="317">
        <v>71.69374643019204</v>
      </c>
      <c r="C28" s="317">
        <v>76.0559852932964</v>
      </c>
      <c r="D28" s="317">
        <v>79.91613266142198</v>
      </c>
      <c r="E28" s="318">
        <v>86.32974613685617</v>
      </c>
      <c r="F28" s="318">
        <v>93.29710016284697</v>
      </c>
      <c r="G28" s="318">
        <v>99.99999994542249</v>
      </c>
      <c r="H28" s="318">
        <v>107.82188732207567</v>
      </c>
      <c r="I28" s="318">
        <v>112.98900293279786</v>
      </c>
      <c r="J28" s="318">
        <v>122.48893939650239</v>
      </c>
      <c r="K28" s="318">
        <v>128.238761580633</v>
      </c>
      <c r="L28" s="318">
        <v>133.30257865994167</v>
      </c>
    </row>
    <row r="29" spans="1:12" ht="24.75" customHeight="1">
      <c r="A29" s="324" t="s">
        <v>427</v>
      </c>
      <c r="B29" s="325">
        <v>147.26065935382871</v>
      </c>
      <c r="C29" s="325">
        <v>140.26952530100533</v>
      </c>
      <c r="D29" s="325">
        <v>137.87239192957628</v>
      </c>
      <c r="E29" s="325">
        <v>132.98541913420098</v>
      </c>
      <c r="F29" s="325">
        <v>140.552157045997</v>
      </c>
      <c r="G29" s="325">
        <v>100</v>
      </c>
      <c r="H29" s="325">
        <v>167.57650757422192</v>
      </c>
      <c r="I29" s="325">
        <v>171.6957071536906</v>
      </c>
      <c r="J29" s="325">
        <v>153.7588187314165</v>
      </c>
      <c r="K29" s="325">
        <v>140.75364405520662</v>
      </c>
      <c r="L29" s="325">
        <v>172.16588749918768</v>
      </c>
    </row>
    <row r="30" ht="15">
      <c r="A30" s="326" t="s">
        <v>505</v>
      </c>
    </row>
    <row r="31" spans="2:9" ht="15">
      <c r="B31" s="327"/>
      <c r="C31" s="327"/>
      <c r="D31" s="327"/>
      <c r="E31" s="327"/>
      <c r="F31" s="327"/>
      <c r="G31" s="327"/>
      <c r="H31" s="327"/>
      <c r="I31" s="327"/>
    </row>
  </sheetData>
  <sheetProtection/>
  <printOptions/>
  <pageMargins left="0.7" right="0.7" top="0.75" bottom="0.75" header="0.3" footer="0.3"/>
  <pageSetup fitToHeight="1" fitToWidth="1" horizontalDpi="600" verticalDpi="600" orientation="landscape" scale="6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3:L36"/>
  <sheetViews>
    <sheetView zoomScalePageLayoutView="0" workbookViewId="0" topLeftCell="A1">
      <selection activeCell="A1" sqref="A1"/>
    </sheetView>
  </sheetViews>
  <sheetFormatPr defaultColWidth="11.5546875" defaultRowHeight="15.75"/>
  <cols>
    <col min="1" max="1" width="38.99609375" style="339" customWidth="1"/>
    <col min="2" max="16384" width="11.5546875" style="339" customWidth="1"/>
  </cols>
  <sheetData>
    <row r="3" spans="1:11" ht="9.75">
      <c r="A3" s="340" t="s">
        <v>533</v>
      </c>
      <c r="K3" s="339" t="s">
        <v>534</v>
      </c>
    </row>
    <row r="4" ht="9.75">
      <c r="A4" s="340" t="s">
        <v>502</v>
      </c>
    </row>
    <row r="5" ht="9.75">
      <c r="A5" s="340" t="s">
        <v>535</v>
      </c>
    </row>
    <row r="7" spans="1:12" ht="9.75">
      <c r="A7" s="341" t="s">
        <v>404</v>
      </c>
      <c r="B7" s="340">
        <v>2003</v>
      </c>
      <c r="C7" s="340">
        <v>2004</v>
      </c>
      <c r="D7" s="340">
        <v>2005</v>
      </c>
      <c r="E7" s="340">
        <v>2006</v>
      </c>
      <c r="F7" s="340">
        <v>2007</v>
      </c>
      <c r="G7" s="340">
        <v>2008</v>
      </c>
      <c r="H7" s="340">
        <v>2009</v>
      </c>
      <c r="I7" s="340">
        <v>2010</v>
      </c>
      <c r="J7" s="340">
        <v>2011</v>
      </c>
      <c r="K7" s="340">
        <v>2012</v>
      </c>
      <c r="L7" s="340" t="s">
        <v>503</v>
      </c>
    </row>
    <row r="8" spans="1:12" ht="9.75">
      <c r="A8" s="341"/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</row>
    <row r="9" spans="1:12" ht="9.75">
      <c r="A9" s="341" t="s">
        <v>536</v>
      </c>
      <c r="B9" s="339">
        <v>895897.0249227205</v>
      </c>
      <c r="C9" s="339">
        <v>929794.4681649784</v>
      </c>
      <c r="D9" s="339">
        <v>970784.5898271532</v>
      </c>
      <c r="E9" s="339">
        <v>1022773.4535686662</v>
      </c>
      <c r="F9" s="339">
        <v>1067873.7353488647</v>
      </c>
      <c r="G9" s="339">
        <v>1085540.401300925</v>
      </c>
      <c r="H9" s="339">
        <v>1044218.7475052022</v>
      </c>
      <c r="I9" s="339">
        <v>1123447.4614418729</v>
      </c>
      <c r="J9" s="339">
        <v>1165302.8688227355</v>
      </c>
      <c r="K9" s="339">
        <v>1205358.1239064266</v>
      </c>
      <c r="L9" s="339">
        <v>1221765.393928622</v>
      </c>
    </row>
    <row r="10" spans="1:12" ht="9.75">
      <c r="A10" s="341" t="s">
        <v>406</v>
      </c>
      <c r="B10" s="339">
        <v>873440.9740000002</v>
      </c>
      <c r="C10" s="339">
        <v>906504.8670000001</v>
      </c>
      <c r="D10" s="339">
        <v>946445.478</v>
      </c>
      <c r="E10" s="339">
        <v>997129.432</v>
      </c>
      <c r="F10" s="339">
        <v>1041075.158</v>
      </c>
      <c r="G10" s="339">
        <v>1058285.259</v>
      </c>
      <c r="H10" s="339">
        <v>1018002.5920000002</v>
      </c>
      <c r="I10" s="339">
        <v>1095216.182</v>
      </c>
      <c r="J10" s="339">
        <v>1136010.1640000003</v>
      </c>
      <c r="K10" s="339">
        <v>1174947.815</v>
      </c>
      <c r="L10" s="339">
        <v>1190941.1415293415</v>
      </c>
    </row>
    <row r="11" ht="9.75">
      <c r="A11" s="341"/>
    </row>
    <row r="12" spans="1:12" ht="20.25">
      <c r="A12" s="341" t="s">
        <v>500</v>
      </c>
      <c r="B12" s="339">
        <v>17051.313</v>
      </c>
      <c r="C12" s="339">
        <v>16599.862</v>
      </c>
      <c r="D12" s="339">
        <v>15339.947</v>
      </c>
      <c r="E12" s="339">
        <v>16830.152</v>
      </c>
      <c r="F12" s="339">
        <v>17714.33</v>
      </c>
      <c r="G12" s="339">
        <v>17078.406</v>
      </c>
      <c r="H12" s="339">
        <v>14944.678</v>
      </c>
      <c r="I12" s="339">
        <v>15845.685</v>
      </c>
      <c r="J12" s="339">
        <v>13285.212</v>
      </c>
      <c r="K12" s="339">
        <v>15458.297</v>
      </c>
      <c r="L12" s="339">
        <v>15498.662090677868</v>
      </c>
    </row>
    <row r="13" spans="1:12" ht="9.75">
      <c r="A13" s="341" t="s">
        <v>407</v>
      </c>
      <c r="B13" s="339">
        <v>306046.042</v>
      </c>
      <c r="C13" s="339">
        <v>318879.554</v>
      </c>
      <c r="D13" s="339">
        <v>333913.764</v>
      </c>
      <c r="E13" s="339">
        <v>344157.219</v>
      </c>
      <c r="F13" s="339">
        <v>355485.11100000003</v>
      </c>
      <c r="G13" s="339">
        <v>355543.506</v>
      </c>
      <c r="H13" s="339">
        <v>333980.94</v>
      </c>
      <c r="I13" s="339">
        <v>377332.213</v>
      </c>
      <c r="J13" s="339">
        <v>384222.262</v>
      </c>
      <c r="K13" s="339">
        <v>385648.26</v>
      </c>
      <c r="L13" s="339">
        <v>385593.77970494033</v>
      </c>
    </row>
    <row r="14" spans="1:12" ht="9.75">
      <c r="A14" s="341" t="s">
        <v>408</v>
      </c>
      <c r="B14" s="339">
        <v>1832.388</v>
      </c>
      <c r="C14" s="339">
        <v>1916.622</v>
      </c>
      <c r="D14" s="339">
        <v>1979.896</v>
      </c>
      <c r="E14" s="339">
        <v>1908.606</v>
      </c>
      <c r="F14" s="339">
        <v>2046.412</v>
      </c>
      <c r="G14" s="339">
        <v>1910.446</v>
      </c>
      <c r="H14" s="339">
        <v>1985.918</v>
      </c>
      <c r="I14" s="339">
        <v>2286.372</v>
      </c>
      <c r="J14" s="339">
        <v>2151.244</v>
      </c>
      <c r="K14" s="339">
        <v>2147.572</v>
      </c>
      <c r="L14" s="339">
        <v>2111.5379616340842</v>
      </c>
    </row>
    <row r="15" spans="1:12" ht="20.25">
      <c r="A15" s="341" t="s">
        <v>409</v>
      </c>
      <c r="B15" s="339">
        <v>11168.487</v>
      </c>
      <c r="C15" s="339">
        <v>11595.666</v>
      </c>
      <c r="D15" s="339">
        <v>13320.574</v>
      </c>
      <c r="E15" s="339">
        <v>14398.16</v>
      </c>
      <c r="F15" s="339">
        <v>16587.988</v>
      </c>
      <c r="G15" s="339">
        <v>17138.426</v>
      </c>
      <c r="H15" s="339">
        <v>19693.094</v>
      </c>
      <c r="I15" s="339">
        <v>19493.097</v>
      </c>
      <c r="J15" s="339">
        <v>20864.828</v>
      </c>
      <c r="K15" s="339">
        <v>18839.269</v>
      </c>
      <c r="L15" s="339">
        <v>18881.233383927487</v>
      </c>
    </row>
    <row r="16" spans="1:12" ht="9.75">
      <c r="A16" s="341" t="s">
        <v>410</v>
      </c>
      <c r="B16" s="339">
        <v>61783.972</v>
      </c>
      <c r="C16" s="339">
        <v>67560.401</v>
      </c>
      <c r="D16" s="339">
        <v>72665.689</v>
      </c>
      <c r="E16" s="339">
        <v>74199.672</v>
      </c>
      <c r="F16" s="339">
        <v>79981.967</v>
      </c>
      <c r="G16" s="339">
        <v>80747.075</v>
      </c>
      <c r="H16" s="339">
        <v>78569.312</v>
      </c>
      <c r="I16" s="339">
        <v>103223.892</v>
      </c>
      <c r="J16" s="339">
        <v>96027.741</v>
      </c>
      <c r="K16" s="339">
        <v>87396.26</v>
      </c>
      <c r="L16" s="339">
        <v>83463.95062721599</v>
      </c>
    </row>
    <row r="17" spans="1:12" ht="9.75">
      <c r="A17" s="341" t="s">
        <v>411</v>
      </c>
      <c r="B17" s="339">
        <v>231261.195</v>
      </c>
      <c r="C17" s="339">
        <v>237806.865</v>
      </c>
      <c r="D17" s="339">
        <v>245947.605</v>
      </c>
      <c r="E17" s="339">
        <v>253650.781</v>
      </c>
      <c r="F17" s="339">
        <v>256868.744</v>
      </c>
      <c r="G17" s="339">
        <v>255747.559</v>
      </c>
      <c r="H17" s="339">
        <v>233732.616</v>
      </c>
      <c r="I17" s="339">
        <v>252328.852</v>
      </c>
      <c r="J17" s="339">
        <v>265178.449</v>
      </c>
      <c r="K17" s="339">
        <v>277265.159</v>
      </c>
      <c r="L17" s="339">
        <v>281137.05773216276</v>
      </c>
    </row>
    <row r="18" spans="1:12" ht="9.75">
      <c r="A18" s="341" t="s">
        <v>412</v>
      </c>
      <c r="B18" s="339">
        <v>550343.6190000001</v>
      </c>
      <c r="C18" s="339">
        <v>571025.4510000001</v>
      </c>
      <c r="D18" s="339">
        <v>597191.767</v>
      </c>
      <c r="E18" s="339">
        <v>636142.061</v>
      </c>
      <c r="F18" s="339">
        <v>667875.717</v>
      </c>
      <c r="G18" s="339">
        <v>685663.347</v>
      </c>
      <c r="H18" s="339">
        <v>669076.9740000002</v>
      </c>
      <c r="I18" s="339">
        <v>702038.2840000001</v>
      </c>
      <c r="J18" s="339">
        <v>738502.6900000003</v>
      </c>
      <c r="K18" s="339">
        <v>773841.258</v>
      </c>
      <c r="L18" s="339">
        <v>789848.6997337232</v>
      </c>
    </row>
    <row r="19" spans="1:12" ht="9.75">
      <c r="A19" s="341" t="s">
        <v>413</v>
      </c>
      <c r="B19" s="339">
        <v>144905.221</v>
      </c>
      <c r="C19" s="339">
        <v>152665.652</v>
      </c>
      <c r="D19" s="339">
        <v>161494.955</v>
      </c>
      <c r="E19" s="339">
        <v>174072.692</v>
      </c>
      <c r="F19" s="339">
        <v>185949.993</v>
      </c>
      <c r="G19" s="339">
        <v>188326.12</v>
      </c>
      <c r="H19" s="339">
        <v>169141.819</v>
      </c>
      <c r="I19" s="339">
        <v>185935.989</v>
      </c>
      <c r="J19" s="339">
        <v>205519.637</v>
      </c>
      <c r="K19" s="339">
        <v>223469.018</v>
      </c>
      <c r="L19" s="339">
        <v>229673.67934832803</v>
      </c>
    </row>
    <row r="20" spans="1:12" ht="9.75">
      <c r="A20" s="341" t="s">
        <v>414</v>
      </c>
      <c r="B20" s="339">
        <v>41035.195</v>
      </c>
      <c r="C20" s="339">
        <v>42450.035</v>
      </c>
      <c r="D20" s="339">
        <v>44778.896</v>
      </c>
      <c r="E20" s="339">
        <v>49568.796</v>
      </c>
      <c r="F20" s="339">
        <v>51591.417</v>
      </c>
      <c r="G20" s="339">
        <v>49818.377</v>
      </c>
      <c r="H20" s="339">
        <v>46353.433</v>
      </c>
      <c r="I20" s="339">
        <v>50670.475</v>
      </c>
      <c r="J20" s="339">
        <v>52599.939</v>
      </c>
      <c r="K20" s="339">
        <v>56060.447</v>
      </c>
      <c r="L20" s="339">
        <v>56879.60135157815</v>
      </c>
    </row>
    <row r="21" spans="1:12" ht="9.75">
      <c r="A21" s="341" t="s">
        <v>417</v>
      </c>
      <c r="B21" s="339">
        <v>12842.959</v>
      </c>
      <c r="C21" s="339">
        <v>15772.506</v>
      </c>
      <c r="D21" s="339">
        <v>18808.695</v>
      </c>
      <c r="E21" s="339">
        <v>20662.162</v>
      </c>
      <c r="F21" s="339">
        <v>23517.13</v>
      </c>
      <c r="G21" s="339">
        <v>24114.363</v>
      </c>
      <c r="H21" s="339">
        <v>24534.39</v>
      </c>
      <c r="I21" s="339">
        <v>23661.96</v>
      </c>
      <c r="J21" s="339">
        <v>24371.406</v>
      </c>
      <c r="K21" s="339">
        <v>25590.31</v>
      </c>
      <c r="L21" s="339">
        <v>26989.25631399358</v>
      </c>
    </row>
    <row r="22" spans="1:12" ht="9.75">
      <c r="A22" s="341" t="s">
        <v>415</v>
      </c>
      <c r="B22" s="339">
        <v>10851.071</v>
      </c>
      <c r="C22" s="339">
        <v>12719.145</v>
      </c>
      <c r="D22" s="339">
        <v>13681</v>
      </c>
      <c r="E22" s="339">
        <v>16059.225</v>
      </c>
      <c r="F22" s="339">
        <v>18344.046</v>
      </c>
      <c r="G22" s="339">
        <v>22787.324</v>
      </c>
      <c r="H22" s="339">
        <v>25243.064</v>
      </c>
      <c r="I22" s="339">
        <v>28318.57</v>
      </c>
      <c r="J22" s="339">
        <v>31357.916</v>
      </c>
      <c r="K22" s="339">
        <v>34667.065</v>
      </c>
      <c r="L22" s="339">
        <v>35987.955929145755</v>
      </c>
    </row>
    <row r="23" spans="1:12" ht="20.25">
      <c r="A23" s="341" t="s">
        <v>416</v>
      </c>
      <c r="B23" s="339">
        <v>175691.863</v>
      </c>
      <c r="C23" s="339">
        <v>180904.277</v>
      </c>
      <c r="D23" s="339">
        <v>185763.439</v>
      </c>
      <c r="E23" s="339">
        <v>193046.788</v>
      </c>
      <c r="F23" s="339">
        <v>200120.193</v>
      </c>
      <c r="G23" s="339">
        <v>207479.288</v>
      </c>
      <c r="H23" s="339">
        <v>213025.527</v>
      </c>
      <c r="I23" s="339">
        <v>219727.862</v>
      </c>
      <c r="J23" s="339">
        <v>225311.744</v>
      </c>
      <c r="K23" s="339">
        <v>230136.735</v>
      </c>
      <c r="L23" s="339">
        <v>233563.58908093016</v>
      </c>
    </row>
    <row r="24" spans="1:12" ht="9.75">
      <c r="A24" s="341" t="s">
        <v>418</v>
      </c>
      <c r="B24" s="339">
        <v>10000.885</v>
      </c>
      <c r="C24" s="339">
        <v>10114.669</v>
      </c>
      <c r="D24" s="339">
        <v>9986.032</v>
      </c>
      <c r="E24" s="339">
        <v>10864.076</v>
      </c>
      <c r="F24" s="339">
        <v>11341.45</v>
      </c>
      <c r="G24" s="339">
        <v>12109.071</v>
      </c>
      <c r="H24" s="339">
        <v>12084.206</v>
      </c>
      <c r="I24" s="339">
        <v>12013.267</v>
      </c>
      <c r="J24" s="339">
        <v>12683.741</v>
      </c>
      <c r="K24" s="339">
        <v>13122.584</v>
      </c>
      <c r="L24" s="339">
        <v>12988.005836311664</v>
      </c>
    </row>
    <row r="25" spans="1:12" ht="9.75">
      <c r="A25" s="341" t="s">
        <v>419</v>
      </c>
      <c r="B25" s="339">
        <v>1429.165</v>
      </c>
      <c r="C25" s="339">
        <v>1438.804</v>
      </c>
      <c r="D25" s="339">
        <v>1482.425</v>
      </c>
      <c r="E25" s="339">
        <v>1560.448</v>
      </c>
      <c r="F25" s="339">
        <v>1596.978</v>
      </c>
      <c r="G25" s="339">
        <v>1644.111</v>
      </c>
      <c r="H25" s="339">
        <v>1518.664</v>
      </c>
      <c r="I25" s="339">
        <v>1573.401</v>
      </c>
      <c r="J25" s="339">
        <v>1664.52</v>
      </c>
      <c r="K25" s="339">
        <v>1738.155</v>
      </c>
      <c r="L25" s="339">
        <v>1639.884001454367</v>
      </c>
    </row>
    <row r="26" spans="1:12" ht="20.25">
      <c r="A26" s="341" t="s">
        <v>420</v>
      </c>
      <c r="B26" s="339">
        <v>15804.517</v>
      </c>
      <c r="C26" s="339">
        <v>16537.167</v>
      </c>
      <c r="D26" s="339">
        <v>17093.567</v>
      </c>
      <c r="E26" s="339">
        <v>18387.882</v>
      </c>
      <c r="F26" s="339">
        <v>19529.113</v>
      </c>
      <c r="G26" s="339">
        <v>20871.965</v>
      </c>
      <c r="H26" s="339">
        <v>18989.563</v>
      </c>
      <c r="I26" s="339">
        <v>19595.918</v>
      </c>
      <c r="J26" s="339">
        <v>21195.359</v>
      </c>
      <c r="K26" s="339">
        <v>22086.459</v>
      </c>
      <c r="L26" s="339">
        <v>22940.13314580541</v>
      </c>
    </row>
    <row r="27" spans="1:12" ht="9.75">
      <c r="A27" s="341" t="s">
        <v>421</v>
      </c>
      <c r="B27" s="339">
        <v>42884.961</v>
      </c>
      <c r="C27" s="339">
        <v>43677.78</v>
      </c>
      <c r="D27" s="339">
        <v>45481.066</v>
      </c>
      <c r="E27" s="339">
        <v>46998.857</v>
      </c>
      <c r="F27" s="339">
        <v>47305.596</v>
      </c>
      <c r="G27" s="339">
        <v>47456.915</v>
      </c>
      <c r="H27" s="339">
        <v>47232.165</v>
      </c>
      <c r="I27" s="339">
        <v>48028.292</v>
      </c>
      <c r="J27" s="339">
        <v>49260.364</v>
      </c>
      <c r="K27" s="339">
        <v>49874.537</v>
      </c>
      <c r="L27" s="339">
        <v>50416.063977830374</v>
      </c>
    </row>
    <row r="28" spans="1:12" ht="9.75">
      <c r="A28" s="341" t="s">
        <v>422</v>
      </c>
      <c r="B28" s="339">
        <v>18491.943</v>
      </c>
      <c r="C28" s="339">
        <v>18244.548</v>
      </c>
      <c r="D28" s="339">
        <v>19516.831</v>
      </c>
      <c r="E28" s="339">
        <v>20711.768</v>
      </c>
      <c r="F28" s="339">
        <v>20975.538</v>
      </c>
      <c r="G28" s="339">
        <v>21490.886</v>
      </c>
      <c r="H28" s="339">
        <v>22941.984</v>
      </c>
      <c r="I28" s="339">
        <v>23707.511</v>
      </c>
      <c r="J28" s="339">
        <v>24228.593</v>
      </c>
      <c r="K28" s="339">
        <v>25294.034</v>
      </c>
      <c r="L28" s="339">
        <v>25800.67881638879</v>
      </c>
    </row>
    <row r="29" spans="1:12" ht="20.25">
      <c r="A29" s="341" t="s">
        <v>423</v>
      </c>
      <c r="B29" s="339">
        <v>2955.077</v>
      </c>
      <c r="C29" s="339">
        <v>3018.686</v>
      </c>
      <c r="D29" s="339">
        <v>3014.142</v>
      </c>
      <c r="E29" s="339">
        <v>3212.096</v>
      </c>
      <c r="F29" s="339">
        <v>3387.777</v>
      </c>
      <c r="G29" s="339">
        <v>3432.911</v>
      </c>
      <c r="H29" s="339">
        <v>3313.285</v>
      </c>
      <c r="I29" s="339">
        <v>3550.543</v>
      </c>
      <c r="J29" s="339">
        <v>3525.724</v>
      </c>
      <c r="K29" s="339">
        <v>3635.749</v>
      </c>
      <c r="L29" s="339">
        <v>3638.3262100232564</v>
      </c>
    </row>
    <row r="30" spans="1:12" ht="20.25">
      <c r="A30" s="341" t="s">
        <v>424</v>
      </c>
      <c r="B30" s="339">
        <v>12023.089</v>
      </c>
      <c r="C30" s="339">
        <v>11837.366</v>
      </c>
      <c r="D30" s="339">
        <v>11737.878</v>
      </c>
      <c r="E30" s="339">
        <v>13402.521</v>
      </c>
      <c r="F30" s="339">
        <v>15022.737</v>
      </c>
      <c r="G30" s="339">
        <v>15001.846</v>
      </c>
      <c r="H30" s="339">
        <v>13024.747</v>
      </c>
      <c r="I30" s="339">
        <v>12261.361</v>
      </c>
      <c r="J30" s="339">
        <v>13193.273</v>
      </c>
      <c r="K30" s="339">
        <v>13014.468</v>
      </c>
      <c r="L30" s="339">
        <v>13288.970605789937</v>
      </c>
    </row>
    <row r="31" spans="1:12" ht="9.75">
      <c r="A31" s="341" t="s">
        <v>425</v>
      </c>
      <c r="B31" s="339">
        <v>23766.656</v>
      </c>
      <c r="C31" s="339">
        <v>23434.126</v>
      </c>
      <c r="D31" s="339">
        <v>25372.699</v>
      </c>
      <c r="E31" s="339">
        <v>27681.111</v>
      </c>
      <c r="F31" s="339">
        <v>27676.135</v>
      </c>
      <c r="G31" s="339">
        <v>28275.392</v>
      </c>
      <c r="H31" s="339">
        <v>29078.371</v>
      </c>
      <c r="I31" s="339">
        <v>29529.123</v>
      </c>
      <c r="J31" s="339">
        <v>30712.973</v>
      </c>
      <c r="K31" s="339">
        <v>31651.506</v>
      </c>
      <c r="L31" s="339">
        <v>32193.876140023247</v>
      </c>
    </row>
    <row r="32" spans="1:12" ht="9.75">
      <c r="A32" s="341" t="s">
        <v>426</v>
      </c>
      <c r="B32" s="339">
        <v>37661.017</v>
      </c>
      <c r="C32" s="339">
        <v>38210.69</v>
      </c>
      <c r="D32" s="339">
        <v>38980.142</v>
      </c>
      <c r="E32" s="339">
        <v>39913.639</v>
      </c>
      <c r="F32" s="339">
        <v>41517.614</v>
      </c>
      <c r="G32" s="339">
        <v>42854.778</v>
      </c>
      <c r="H32" s="339">
        <v>42595.756</v>
      </c>
      <c r="I32" s="339">
        <v>43464.012</v>
      </c>
      <c r="J32" s="339">
        <v>42877.501</v>
      </c>
      <c r="K32" s="339">
        <v>43500.191</v>
      </c>
      <c r="L32" s="339">
        <v>43848.67897612059</v>
      </c>
    </row>
    <row r="33" spans="1:12" ht="9.75">
      <c r="A33" s="341" t="s">
        <v>429</v>
      </c>
      <c r="B33" s="339">
        <v>22456.050922720387</v>
      </c>
      <c r="C33" s="339">
        <v>23289.601164978325</v>
      </c>
      <c r="D33" s="339">
        <v>24339.11182715323</v>
      </c>
      <c r="E33" s="339">
        <v>25644.021568666165</v>
      </c>
      <c r="F33" s="339">
        <v>26798.577348864546</v>
      </c>
      <c r="G33" s="339">
        <v>27255.14230092495</v>
      </c>
      <c r="H33" s="339">
        <v>26216.155505201987</v>
      </c>
      <c r="I33" s="339">
        <v>28231.279441872794</v>
      </c>
      <c r="J33" s="339">
        <v>29292.70482273521</v>
      </c>
      <c r="K33" s="339">
        <v>30410.308906426577</v>
      </c>
      <c r="L33" s="339">
        <v>30824.25239928055</v>
      </c>
    </row>
    <row r="35" ht="9.75">
      <c r="A35" s="339" t="s">
        <v>537</v>
      </c>
    </row>
    <row r="36" ht="9.75">
      <c r="A36" s="339" t="s">
        <v>538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L31"/>
  <sheetViews>
    <sheetView showGridLines="0" zoomScale="70" zoomScaleNormal="70" zoomScalePageLayoutView="0" workbookViewId="0" topLeftCell="A1">
      <selection activeCell="A1" sqref="A1"/>
    </sheetView>
  </sheetViews>
  <sheetFormatPr defaultColWidth="11.5546875" defaultRowHeight="15.75"/>
  <cols>
    <col min="1" max="1" width="39.4453125" style="310" customWidth="1"/>
    <col min="2" max="9" width="11.4453125" style="310" customWidth="1"/>
    <col min="10" max="16384" width="11.5546875" style="310" customWidth="1"/>
  </cols>
  <sheetData>
    <row r="1" spans="1:12" s="307" customFormat="1" ht="15.75" customHeight="1">
      <c r="A1" s="305" t="s">
        <v>428</v>
      </c>
      <c r="B1" s="305"/>
      <c r="C1" s="305"/>
      <c r="D1" s="305"/>
      <c r="E1" s="305"/>
      <c r="F1" s="305"/>
      <c r="G1" s="305"/>
      <c r="H1" s="306"/>
      <c r="I1" s="306"/>
      <c r="J1" s="306"/>
      <c r="K1" s="306"/>
      <c r="L1" s="306"/>
    </row>
    <row r="2" spans="1:12" s="307" customFormat="1" ht="15.75" customHeight="1">
      <c r="A2" s="305" t="s">
        <v>502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s="307" customFormat="1" ht="15.75" customHeight="1">
      <c r="A3" s="308" t="s">
        <v>501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</row>
    <row r="4" spans="1:12" ht="15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</row>
    <row r="5" spans="1:12" s="328" customFormat="1" ht="39.75" customHeight="1">
      <c r="A5" s="311" t="s">
        <v>404</v>
      </c>
      <c r="B5" s="312">
        <v>2003</v>
      </c>
      <c r="C5" s="312">
        <v>2004</v>
      </c>
      <c r="D5" s="312">
        <v>2005</v>
      </c>
      <c r="E5" s="312">
        <v>2006</v>
      </c>
      <c r="F5" s="312">
        <v>2007</v>
      </c>
      <c r="G5" s="312">
        <v>2008</v>
      </c>
      <c r="H5" s="312">
        <v>2009</v>
      </c>
      <c r="I5" s="312">
        <v>2010</v>
      </c>
      <c r="J5" s="312">
        <v>2011</v>
      </c>
      <c r="K5" s="312">
        <v>2012</v>
      </c>
      <c r="L5" s="312" t="s">
        <v>503</v>
      </c>
    </row>
    <row r="6" spans="1:12" ht="24.75" customHeight="1">
      <c r="A6" s="314" t="s">
        <v>405</v>
      </c>
      <c r="B6" s="315">
        <v>79.05492099403618</v>
      </c>
      <c r="C6" s="315">
        <v>83.79792849640233</v>
      </c>
      <c r="D6" s="315">
        <v>87.58085377681778</v>
      </c>
      <c r="E6" s="315">
        <v>91.24267997625017</v>
      </c>
      <c r="F6" s="315">
        <v>95.2449187071053</v>
      </c>
      <c r="G6" s="315">
        <v>100.00000000015363</v>
      </c>
      <c r="H6" s="315">
        <v>106.74103408106876</v>
      </c>
      <c r="I6" s="315">
        <v>110.36717363866897</v>
      </c>
      <c r="J6" s="315">
        <v>114.43496696317025</v>
      </c>
      <c r="K6" s="315">
        <v>118.51092124548519</v>
      </c>
      <c r="L6" s="315">
        <v>120.63858930347342</v>
      </c>
    </row>
    <row r="7" spans="1:12" s="329" customFormat="1" ht="24.75" customHeight="1">
      <c r="A7" s="149" t="s">
        <v>406</v>
      </c>
      <c r="B7" s="317">
        <v>77.14559747685936</v>
      </c>
      <c r="C7" s="317">
        <v>82.25718119613802</v>
      </c>
      <c r="D7" s="317">
        <v>86.21950317987572</v>
      </c>
      <c r="E7" s="317">
        <v>90.16023227764879</v>
      </c>
      <c r="F7" s="317">
        <v>94.08825131143892</v>
      </c>
      <c r="G7" s="317">
        <v>100</v>
      </c>
      <c r="H7" s="317">
        <v>105.10884710989023</v>
      </c>
      <c r="I7" s="317">
        <v>108.7625127876352</v>
      </c>
      <c r="J7" s="317">
        <v>113.435188243615</v>
      </c>
      <c r="K7" s="317">
        <v>117.92290706970674</v>
      </c>
      <c r="L7" s="317">
        <v>119.30569997530398</v>
      </c>
    </row>
    <row r="8" spans="1:12" s="329" customFormat="1" ht="24.75" customHeight="1">
      <c r="A8" s="319" t="s">
        <v>500</v>
      </c>
      <c r="B8" s="317">
        <v>68.40092607531162</v>
      </c>
      <c r="C8" s="317">
        <v>73.88501783930492</v>
      </c>
      <c r="D8" s="317">
        <v>84.43324478239722</v>
      </c>
      <c r="E8" s="317">
        <v>87.5349432375893</v>
      </c>
      <c r="F8" s="317">
        <v>98.45864901466777</v>
      </c>
      <c r="G8" s="317">
        <v>100</v>
      </c>
      <c r="H8" s="317">
        <v>106.78400698897627</v>
      </c>
      <c r="I8" s="317">
        <v>106.62545039864165</v>
      </c>
      <c r="J8" s="317">
        <v>116.32908831262911</v>
      </c>
      <c r="K8" s="317">
        <v>124.6891038514786</v>
      </c>
      <c r="L8" s="317">
        <v>132.96002072852923</v>
      </c>
    </row>
    <row r="9" spans="1:12" ht="24.75" customHeight="1">
      <c r="A9" s="320" t="s">
        <v>407</v>
      </c>
      <c r="B9" s="317">
        <v>76.43988253244588</v>
      </c>
      <c r="C9" s="317">
        <v>81.61026341626155</v>
      </c>
      <c r="D9" s="317">
        <v>84.59482161388232</v>
      </c>
      <c r="E9" s="317">
        <v>89.54888259949591</v>
      </c>
      <c r="F9" s="317">
        <v>93.51544149481973</v>
      </c>
      <c r="G9" s="317">
        <v>100</v>
      </c>
      <c r="H9" s="317">
        <v>106.7919702244086</v>
      </c>
      <c r="I9" s="317">
        <v>110.4349039502758</v>
      </c>
      <c r="J9" s="317">
        <v>115.88529115473274</v>
      </c>
      <c r="K9" s="317">
        <v>122.22943155506523</v>
      </c>
      <c r="L9" s="317">
        <v>120.93483689763349</v>
      </c>
    </row>
    <row r="10" spans="1:12" ht="24.75" customHeight="1">
      <c r="A10" s="322" t="s">
        <v>408</v>
      </c>
      <c r="B10" s="317">
        <v>62.29237475905759</v>
      </c>
      <c r="C10" s="317">
        <v>72.30825900986214</v>
      </c>
      <c r="D10" s="317">
        <v>74.48381127089505</v>
      </c>
      <c r="E10" s="317">
        <v>96.9014558269229</v>
      </c>
      <c r="F10" s="317">
        <v>106.12882449868354</v>
      </c>
      <c r="G10" s="317">
        <v>100</v>
      </c>
      <c r="H10" s="317">
        <v>105.56024971826632</v>
      </c>
      <c r="I10" s="317">
        <v>116.61960520860124</v>
      </c>
      <c r="J10" s="317">
        <v>131.8733253875432</v>
      </c>
      <c r="K10" s="317">
        <v>133.3511519055007</v>
      </c>
      <c r="L10" s="317">
        <v>120.79618075049574</v>
      </c>
    </row>
    <row r="11" spans="1:12" s="329" customFormat="1" ht="24.75" customHeight="1">
      <c r="A11" s="323" t="s">
        <v>409</v>
      </c>
      <c r="B11" s="317">
        <v>95.52221352811712</v>
      </c>
      <c r="C11" s="317">
        <v>94.99655302248271</v>
      </c>
      <c r="D11" s="317">
        <v>93.63760900994205</v>
      </c>
      <c r="E11" s="317">
        <v>89.38060141018019</v>
      </c>
      <c r="F11" s="317">
        <v>90.82634373740805</v>
      </c>
      <c r="G11" s="317">
        <v>100</v>
      </c>
      <c r="H11" s="317">
        <v>103.88351876043448</v>
      </c>
      <c r="I11" s="317">
        <v>101.87302715417668</v>
      </c>
      <c r="J11" s="317">
        <v>101.56559641900715</v>
      </c>
      <c r="K11" s="317">
        <v>106.11668637461464</v>
      </c>
      <c r="L11" s="317">
        <v>88.067951211071</v>
      </c>
    </row>
    <row r="12" spans="1:12" s="329" customFormat="1" ht="24.75" customHeight="1">
      <c r="A12" s="322" t="s">
        <v>410</v>
      </c>
      <c r="B12" s="317">
        <v>72.43354959438348</v>
      </c>
      <c r="C12" s="317">
        <v>80.24329814146604</v>
      </c>
      <c r="D12" s="317">
        <v>83.47753366791856</v>
      </c>
      <c r="E12" s="317">
        <v>89.10545588395593</v>
      </c>
      <c r="F12" s="317">
        <v>92.1422937747955</v>
      </c>
      <c r="G12" s="317">
        <v>100</v>
      </c>
      <c r="H12" s="317">
        <v>101.2593313786431</v>
      </c>
      <c r="I12" s="317">
        <v>106.22176017156957</v>
      </c>
      <c r="J12" s="317">
        <v>112.95405251697008</v>
      </c>
      <c r="K12" s="317">
        <v>118.03668486500453</v>
      </c>
      <c r="L12" s="317">
        <v>117.7112843056375</v>
      </c>
    </row>
    <row r="13" spans="1:12" s="329" customFormat="1" ht="24.75" customHeight="1">
      <c r="A13" s="322" t="s">
        <v>411</v>
      </c>
      <c r="B13" s="317">
        <v>76.70075690822232</v>
      </c>
      <c r="C13" s="317">
        <v>81.4208584768989</v>
      </c>
      <c r="D13" s="317">
        <v>84.51656156602948</v>
      </c>
      <c r="E13" s="317">
        <v>89.63282435152448</v>
      </c>
      <c r="F13" s="317">
        <v>94.016170375326</v>
      </c>
      <c r="G13" s="317">
        <v>100</v>
      </c>
      <c r="H13" s="317">
        <v>108.90728532298633</v>
      </c>
      <c r="I13" s="317">
        <v>112.76382535913886</v>
      </c>
      <c r="J13" s="317">
        <v>117.94376925403918</v>
      </c>
      <c r="K13" s="317">
        <v>124.5596847601036</v>
      </c>
      <c r="L13" s="317">
        <v>124.10023443906874</v>
      </c>
    </row>
    <row r="14" spans="1:12" s="329" customFormat="1" ht="24.75" customHeight="1">
      <c r="A14" s="320" t="s">
        <v>412</v>
      </c>
      <c r="B14" s="317">
        <v>77.8089819189854</v>
      </c>
      <c r="C14" s="317">
        <v>82.86182256349198</v>
      </c>
      <c r="D14" s="317">
        <v>87.17381078697957</v>
      </c>
      <c r="E14" s="317">
        <v>90.56043285274922</v>
      </c>
      <c r="F14" s="317">
        <v>94.27721864605536</v>
      </c>
      <c r="G14" s="317">
        <v>100</v>
      </c>
      <c r="H14" s="317">
        <v>104.23127130362131</v>
      </c>
      <c r="I14" s="317">
        <v>107.91186994582762</v>
      </c>
      <c r="J14" s="317">
        <v>112.10840884005442</v>
      </c>
      <c r="K14" s="317">
        <v>115.64156378955953</v>
      </c>
      <c r="L14" s="317">
        <v>118.2424472697504</v>
      </c>
    </row>
    <row r="15" spans="1:12" s="329" customFormat="1" ht="24.75" customHeight="1">
      <c r="A15" s="323" t="s">
        <v>413</v>
      </c>
      <c r="B15" s="317">
        <v>74.68500945179885</v>
      </c>
      <c r="C15" s="317">
        <v>81.40152442410556</v>
      </c>
      <c r="D15" s="317">
        <v>85.41788627390868</v>
      </c>
      <c r="E15" s="317">
        <v>88.32177823733547</v>
      </c>
      <c r="F15" s="317">
        <v>91.64208895667988</v>
      </c>
      <c r="G15" s="317">
        <v>100</v>
      </c>
      <c r="H15" s="317">
        <v>105.78430518120419</v>
      </c>
      <c r="I15" s="317">
        <v>108.25272400600186</v>
      </c>
      <c r="J15" s="317">
        <v>113.56354672814064</v>
      </c>
      <c r="K15" s="317">
        <v>118.45114565277233</v>
      </c>
      <c r="L15" s="317">
        <v>122.52539689735976</v>
      </c>
    </row>
    <row r="16" spans="1:12" s="329" customFormat="1" ht="24.75" customHeight="1">
      <c r="A16" s="323" t="s">
        <v>414</v>
      </c>
      <c r="B16" s="317">
        <v>81.08640156334094</v>
      </c>
      <c r="C16" s="317">
        <v>89.18862375496273</v>
      </c>
      <c r="D16" s="317">
        <v>94.60835523948602</v>
      </c>
      <c r="E16" s="317">
        <v>94.21806613983522</v>
      </c>
      <c r="F16" s="317">
        <v>94.578943237787</v>
      </c>
      <c r="G16" s="317">
        <v>100</v>
      </c>
      <c r="H16" s="317">
        <v>109.96163973442918</v>
      </c>
      <c r="I16" s="317">
        <v>119.19839314709404</v>
      </c>
      <c r="J16" s="317">
        <v>126.1186253466948</v>
      </c>
      <c r="K16" s="317">
        <v>128.6110972322429</v>
      </c>
      <c r="L16" s="317">
        <v>129.4223838704835</v>
      </c>
    </row>
    <row r="17" spans="1:12" s="329" customFormat="1" ht="24.75" customHeight="1">
      <c r="A17" s="323" t="s">
        <v>415</v>
      </c>
      <c r="B17" s="317">
        <v>108.87552471358042</v>
      </c>
      <c r="C17" s="317">
        <v>107.28328776669984</v>
      </c>
      <c r="D17" s="317">
        <v>105.5750651493897</v>
      </c>
      <c r="E17" s="317">
        <v>103.4725214137804</v>
      </c>
      <c r="F17" s="317">
        <v>101.6976093596455</v>
      </c>
      <c r="G17" s="317">
        <v>100</v>
      </c>
      <c r="H17" s="317">
        <v>97.18452751423615</v>
      </c>
      <c r="I17" s="317">
        <v>100.97148334288453</v>
      </c>
      <c r="J17" s="317">
        <v>96.179691069116</v>
      </c>
      <c r="K17" s="317">
        <v>87.20087798858238</v>
      </c>
      <c r="L17" s="317">
        <v>78.2801322648415</v>
      </c>
    </row>
    <row r="18" spans="1:12" s="329" customFormat="1" ht="24.75" customHeight="1">
      <c r="A18" s="323" t="s">
        <v>416</v>
      </c>
      <c r="B18" s="317">
        <v>97.35276821983746</v>
      </c>
      <c r="C18" s="317">
        <v>98.43702544471346</v>
      </c>
      <c r="D18" s="317">
        <v>115.87083546524377</v>
      </c>
      <c r="E18" s="317">
        <v>107.28181465793025</v>
      </c>
      <c r="F18" s="317">
        <v>111.86263924545325</v>
      </c>
      <c r="G18" s="317">
        <v>100</v>
      </c>
      <c r="H18" s="317">
        <v>101.90281575960827</v>
      </c>
      <c r="I18" s="317">
        <v>90.18059174598152</v>
      </c>
      <c r="J18" s="317">
        <v>86.99757343568368</v>
      </c>
      <c r="K18" s="317">
        <v>84.02869697795299</v>
      </c>
      <c r="L18" s="317">
        <v>86.56274056186575</v>
      </c>
    </row>
    <row r="19" spans="1:12" s="329" customFormat="1" ht="24.75" customHeight="1">
      <c r="A19" s="323" t="s">
        <v>417</v>
      </c>
      <c r="B19" s="317">
        <v>80.06337322520166</v>
      </c>
      <c r="C19" s="317">
        <v>83.52758403827013</v>
      </c>
      <c r="D19" s="317">
        <v>87.14767387569735</v>
      </c>
      <c r="E19" s="317">
        <v>91.441959137906</v>
      </c>
      <c r="F19" s="317">
        <v>94.77842648292868</v>
      </c>
      <c r="G19" s="317">
        <v>100</v>
      </c>
      <c r="H19" s="317">
        <v>101.60262952899537</v>
      </c>
      <c r="I19" s="317">
        <v>104.2428861388548</v>
      </c>
      <c r="J19" s="317">
        <v>107.04852295670837</v>
      </c>
      <c r="K19" s="317">
        <v>109.78260858702112</v>
      </c>
      <c r="L19" s="317">
        <v>113.66296211535001</v>
      </c>
    </row>
    <row r="20" spans="1:12" s="329" customFormat="1" ht="24.75" customHeight="1">
      <c r="A20" s="323" t="s">
        <v>418</v>
      </c>
      <c r="B20" s="317">
        <v>70.26525152524002</v>
      </c>
      <c r="C20" s="317">
        <v>72.247307351333</v>
      </c>
      <c r="D20" s="317">
        <v>75.3581602782767</v>
      </c>
      <c r="E20" s="317">
        <v>81.86612464787618</v>
      </c>
      <c r="F20" s="317">
        <v>90.29383368087854</v>
      </c>
      <c r="G20" s="317">
        <v>100</v>
      </c>
      <c r="H20" s="317">
        <v>109.07305784095371</v>
      </c>
      <c r="I20" s="317">
        <v>118.55257191902919</v>
      </c>
      <c r="J20" s="317">
        <v>123.42188318099528</v>
      </c>
      <c r="K20" s="317">
        <v>125.28909702540292</v>
      </c>
      <c r="L20" s="317">
        <v>117.16624657162376</v>
      </c>
    </row>
    <row r="21" spans="1:12" s="329" customFormat="1" ht="24.75" customHeight="1">
      <c r="A21" s="323" t="s">
        <v>419</v>
      </c>
      <c r="B21" s="317">
        <v>70.75208250971721</v>
      </c>
      <c r="C21" s="317">
        <v>81.6519831749147</v>
      </c>
      <c r="D21" s="317">
        <v>86.43789736411622</v>
      </c>
      <c r="E21" s="317">
        <v>88.97175682880813</v>
      </c>
      <c r="F21" s="317">
        <v>91.12530041115156</v>
      </c>
      <c r="G21" s="317">
        <v>100</v>
      </c>
      <c r="H21" s="317">
        <v>102.16888001559266</v>
      </c>
      <c r="I21" s="317">
        <v>104.22981808197656</v>
      </c>
      <c r="J21" s="317">
        <v>107.72751303679138</v>
      </c>
      <c r="K21" s="317">
        <v>110.42081977729259</v>
      </c>
      <c r="L21" s="317">
        <v>118.05185906369175</v>
      </c>
    </row>
    <row r="22" spans="1:12" s="329" customFormat="1" ht="24.75" customHeight="1">
      <c r="A22" s="323" t="s">
        <v>420</v>
      </c>
      <c r="B22" s="317">
        <v>79.48344767511719</v>
      </c>
      <c r="C22" s="317">
        <v>83.40323345588757</v>
      </c>
      <c r="D22" s="317">
        <v>87.96362982635515</v>
      </c>
      <c r="E22" s="317">
        <v>91.51410151533493</v>
      </c>
      <c r="F22" s="317">
        <v>95.35467381442258</v>
      </c>
      <c r="G22" s="317">
        <v>100</v>
      </c>
      <c r="H22" s="317">
        <v>105.9059126321127</v>
      </c>
      <c r="I22" s="317">
        <v>108.64518314477536</v>
      </c>
      <c r="J22" s="317">
        <v>112.44173783515532</v>
      </c>
      <c r="K22" s="317">
        <v>118.77564891683181</v>
      </c>
      <c r="L22" s="317">
        <v>120.79555634536699</v>
      </c>
    </row>
    <row r="23" spans="1:12" s="329" customFormat="1" ht="24.75" customHeight="1">
      <c r="A23" s="323" t="s">
        <v>421</v>
      </c>
      <c r="B23" s="317">
        <v>70.1914967347178</v>
      </c>
      <c r="C23" s="317">
        <v>74.63390309672333</v>
      </c>
      <c r="D23" s="317">
        <v>80.07878707152555</v>
      </c>
      <c r="E23" s="317">
        <v>87.08907537900336</v>
      </c>
      <c r="F23" s="317">
        <v>92.99671015665885</v>
      </c>
      <c r="G23" s="317">
        <v>100</v>
      </c>
      <c r="H23" s="317">
        <v>104.68736506149992</v>
      </c>
      <c r="I23" s="317">
        <v>111.93677676482854</v>
      </c>
      <c r="J23" s="317">
        <v>118.3312794846583</v>
      </c>
      <c r="K23" s="317">
        <v>124.88598941780653</v>
      </c>
      <c r="L23" s="317">
        <v>130.30771041079774</v>
      </c>
    </row>
    <row r="24" spans="1:12" s="329" customFormat="1" ht="24.75" customHeight="1">
      <c r="A24" s="323" t="s">
        <v>422</v>
      </c>
      <c r="B24" s="317">
        <v>73.6140274713155</v>
      </c>
      <c r="C24" s="317">
        <v>79.2837125918384</v>
      </c>
      <c r="D24" s="317">
        <v>81.53012648416129</v>
      </c>
      <c r="E24" s="317">
        <v>83.39165927312435</v>
      </c>
      <c r="F24" s="317">
        <v>89.23856923240777</v>
      </c>
      <c r="G24" s="317">
        <v>100</v>
      </c>
      <c r="H24" s="317">
        <v>106.39800376462645</v>
      </c>
      <c r="I24" s="317">
        <v>117.618774910618</v>
      </c>
      <c r="J24" s="317">
        <v>127.49788235742786</v>
      </c>
      <c r="K24" s="317">
        <v>134.49790175817745</v>
      </c>
      <c r="L24" s="317">
        <v>128.97736603294328</v>
      </c>
    </row>
    <row r="25" spans="1:12" s="329" customFormat="1" ht="24.75" customHeight="1">
      <c r="A25" s="323" t="s">
        <v>423</v>
      </c>
      <c r="B25" s="317">
        <v>77.34664782000603</v>
      </c>
      <c r="C25" s="317">
        <v>81.0306537347707</v>
      </c>
      <c r="D25" s="317">
        <v>85.7216083382933</v>
      </c>
      <c r="E25" s="317">
        <v>91.59122267827613</v>
      </c>
      <c r="F25" s="317">
        <v>95.85480390238202</v>
      </c>
      <c r="G25" s="317">
        <v>100</v>
      </c>
      <c r="H25" s="317">
        <v>104.50211798864268</v>
      </c>
      <c r="I25" s="317">
        <v>109.13046257994905</v>
      </c>
      <c r="J25" s="317">
        <v>111.65675475448447</v>
      </c>
      <c r="K25" s="317">
        <v>112.66366297563447</v>
      </c>
      <c r="L25" s="317">
        <v>121.36261965093875</v>
      </c>
    </row>
    <row r="26" spans="1:12" s="329" customFormat="1" ht="24.75" customHeight="1">
      <c r="A26" s="323" t="s">
        <v>424</v>
      </c>
      <c r="B26" s="317">
        <v>82.24335692765811</v>
      </c>
      <c r="C26" s="317">
        <v>85.9028942756353</v>
      </c>
      <c r="D26" s="317">
        <v>88.18961996367656</v>
      </c>
      <c r="E26" s="317">
        <v>90.21757921513422</v>
      </c>
      <c r="F26" s="317">
        <v>95.43189766285597</v>
      </c>
      <c r="G26" s="317">
        <v>100</v>
      </c>
      <c r="H26" s="317">
        <v>104.99744064126544</v>
      </c>
      <c r="I26" s="317">
        <v>112.39699247090107</v>
      </c>
      <c r="J26" s="317">
        <v>118.85046265623399</v>
      </c>
      <c r="K26" s="317">
        <v>124.36908677327416</v>
      </c>
      <c r="L26" s="317">
        <v>121.76545834320851</v>
      </c>
    </row>
    <row r="27" spans="1:12" s="329" customFormat="1" ht="24.75" customHeight="1">
      <c r="A27" s="323" t="s">
        <v>425</v>
      </c>
      <c r="B27" s="317">
        <v>80.90994374639831</v>
      </c>
      <c r="C27" s="317">
        <v>84.79853697125294</v>
      </c>
      <c r="D27" s="317">
        <v>88.02772617922909</v>
      </c>
      <c r="E27" s="317">
        <v>92.32859186901855</v>
      </c>
      <c r="F27" s="317">
        <v>96.47233979744642</v>
      </c>
      <c r="G27" s="317">
        <v>100</v>
      </c>
      <c r="H27" s="317">
        <v>103.3443929854255</v>
      </c>
      <c r="I27" s="317">
        <v>107.79608320910852</v>
      </c>
      <c r="J27" s="317">
        <v>112.59272750964226</v>
      </c>
      <c r="K27" s="317">
        <v>117.41436568610668</v>
      </c>
      <c r="L27" s="317">
        <v>118.78784718140875</v>
      </c>
    </row>
    <row r="28" spans="1:12" s="329" customFormat="1" ht="24.75" customHeight="1">
      <c r="A28" s="323" t="s">
        <v>426</v>
      </c>
      <c r="B28" s="317">
        <v>68.48157605515539</v>
      </c>
      <c r="C28" s="317">
        <v>74.9997945601087</v>
      </c>
      <c r="D28" s="317">
        <v>80.14497997467531</v>
      </c>
      <c r="E28" s="317">
        <v>86.70837304511372</v>
      </c>
      <c r="F28" s="317">
        <v>94.0129796476262</v>
      </c>
      <c r="G28" s="317">
        <v>100</v>
      </c>
      <c r="H28" s="317">
        <v>107.04400926702651</v>
      </c>
      <c r="I28" s="317">
        <v>113.00830673431619</v>
      </c>
      <c r="J28" s="317">
        <v>120.38258479662798</v>
      </c>
      <c r="K28" s="317">
        <v>127.90655562868677</v>
      </c>
      <c r="L28" s="317">
        <v>133.3715982121895</v>
      </c>
    </row>
    <row r="29" spans="1:12" s="329" customFormat="1" ht="24.75" customHeight="1">
      <c r="A29" s="324" t="s">
        <v>429</v>
      </c>
      <c r="B29" s="325">
        <v>153.31915375086166</v>
      </c>
      <c r="C29" s="325">
        <v>143.76868182158157</v>
      </c>
      <c r="D29" s="325">
        <v>140.5180408688705</v>
      </c>
      <c r="E29" s="325">
        <v>133.33204010200066</v>
      </c>
      <c r="F29" s="325">
        <v>140.17930742561117</v>
      </c>
      <c r="G29" s="325">
        <v>100.000000006119</v>
      </c>
      <c r="H29" s="325">
        <v>170.12067672007691</v>
      </c>
      <c r="I29" s="325">
        <v>172.61906464108</v>
      </c>
      <c r="J29" s="325">
        <v>153.20771922482425</v>
      </c>
      <c r="K29" s="325">
        <v>141.22972930316755</v>
      </c>
      <c r="L29" s="325">
        <v>172.13676409973976</v>
      </c>
    </row>
    <row r="30" spans="1:12" ht="15.75" customHeight="1">
      <c r="A30" s="330" t="s">
        <v>504</v>
      </c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</row>
    <row r="31" spans="1:10" ht="40.5" customHeight="1">
      <c r="A31" s="330"/>
      <c r="B31" s="327"/>
      <c r="C31" s="327"/>
      <c r="D31" s="327"/>
      <c r="E31" s="327"/>
      <c r="F31" s="327"/>
      <c r="G31" s="327"/>
      <c r="H31" s="327"/>
      <c r="I31" s="327"/>
      <c r="J31" s="327"/>
    </row>
  </sheetData>
  <sheetProtection/>
  <printOptions/>
  <pageMargins left="0.7" right="0.7" top="0.75" bottom="0.75" header="0.3" footer="0.3"/>
  <pageSetup fitToHeight="1" fitToWidth="1" horizontalDpi="600" verticalDpi="6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theme="9" tint="-0.24997000396251678"/>
  </sheetPr>
  <dimension ref="A1:S87"/>
  <sheetViews>
    <sheetView showGridLines="0" view="pageBreakPreview" zoomScale="80" zoomScaleNormal="65" zoomScaleSheetLayoutView="8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22" sqref="B22:S22"/>
    </sheetView>
  </sheetViews>
  <sheetFormatPr defaultColWidth="9.77734375" defaultRowHeight="15.75"/>
  <cols>
    <col min="1" max="1" width="2.77734375" style="14" customWidth="1"/>
    <col min="2" max="4" width="2.77734375" style="13" customWidth="1"/>
    <col min="5" max="5" width="25.6640625" style="13" customWidth="1"/>
    <col min="6" max="6" width="11.77734375" style="14" customWidth="1"/>
    <col min="7" max="8" width="11.77734375" style="20" customWidth="1"/>
    <col min="9" max="15" width="11.77734375" style="12" customWidth="1"/>
    <col min="16" max="16" width="1.77734375" style="12" customWidth="1"/>
    <col min="17" max="18" width="11.77734375" style="20" customWidth="1"/>
    <col min="19" max="19" width="7.3359375" style="13" bestFit="1" customWidth="1"/>
    <col min="20" max="16384" width="9.77734375" style="13" customWidth="1"/>
  </cols>
  <sheetData>
    <row r="1" spans="1:19" ht="24.75" customHeight="1">
      <c r="A1" s="129" t="s">
        <v>295</v>
      </c>
      <c r="B1" s="129"/>
      <c r="C1" s="129"/>
      <c r="D1" s="129"/>
      <c r="E1" s="129"/>
      <c r="F1" s="12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69" t="s">
        <v>300</v>
      </c>
      <c r="S1" s="469"/>
    </row>
    <row r="2" spans="1:19" ht="24.75" customHeight="1">
      <c r="A2" s="129" t="s">
        <v>512</v>
      </c>
      <c r="B2" s="130"/>
      <c r="C2" s="130"/>
      <c r="D2" s="130"/>
      <c r="E2" s="130"/>
      <c r="F2" s="130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4.75" customHeight="1">
      <c r="A3" s="7"/>
      <c r="B3" s="4"/>
      <c r="C3" s="4"/>
      <c r="D3" s="4"/>
      <c r="E3" s="4"/>
      <c r="F3" s="8"/>
      <c r="G3" s="9"/>
      <c r="H3" s="9"/>
      <c r="I3" s="10"/>
      <c r="J3" s="10"/>
      <c r="K3" s="10"/>
      <c r="L3" s="10"/>
      <c r="M3" s="10"/>
      <c r="N3" s="10"/>
      <c r="O3" s="10"/>
      <c r="P3" s="10"/>
      <c r="Q3" s="9"/>
      <c r="R3" s="9"/>
      <c r="S3" s="4"/>
    </row>
    <row r="4" spans="1:19" ht="24.75" customHeight="1">
      <c r="A4" s="470" t="s">
        <v>64</v>
      </c>
      <c r="B4" s="470"/>
      <c r="C4" s="470"/>
      <c r="D4" s="470"/>
      <c r="E4" s="470"/>
      <c r="F4" s="458">
        <v>2003</v>
      </c>
      <c r="G4" s="458">
        <v>2004</v>
      </c>
      <c r="H4" s="458">
        <v>2005</v>
      </c>
      <c r="I4" s="458">
        <v>2006</v>
      </c>
      <c r="J4" s="458">
        <v>2007</v>
      </c>
      <c r="K4" s="458">
        <v>2008</v>
      </c>
      <c r="L4" s="458">
        <v>2009</v>
      </c>
      <c r="M4" s="458">
        <v>2010</v>
      </c>
      <c r="N4" s="458">
        <v>2011</v>
      </c>
      <c r="O4" s="458">
        <v>2012</v>
      </c>
      <c r="P4" s="126"/>
      <c r="Q4" s="472" t="s">
        <v>473</v>
      </c>
      <c r="R4" s="472"/>
      <c r="S4" s="472"/>
    </row>
    <row r="5" spans="1:19" ht="24.75" customHeight="1">
      <c r="A5" s="471"/>
      <c r="B5" s="471"/>
      <c r="C5" s="471"/>
      <c r="D5" s="471"/>
      <c r="E5" s="471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131"/>
      <c r="Q5" s="131" t="s">
        <v>65</v>
      </c>
      <c r="R5" s="131" t="s">
        <v>66</v>
      </c>
      <c r="S5" s="131" t="s">
        <v>19</v>
      </c>
    </row>
    <row r="6" spans="1:19" ht="24.75" customHeight="1">
      <c r="A6" s="84"/>
      <c r="B6" s="122" t="s">
        <v>528</v>
      </c>
      <c r="C6" s="122"/>
      <c r="D6" s="122"/>
      <c r="E6" s="122"/>
      <c r="F6" s="17"/>
      <c r="G6" s="17"/>
      <c r="H6" s="17"/>
      <c r="I6" s="17"/>
      <c r="J6" s="17"/>
      <c r="K6" s="17"/>
      <c r="L6" s="17"/>
      <c r="M6" s="17"/>
      <c r="P6" s="17"/>
      <c r="Q6" s="17"/>
      <c r="R6" s="17"/>
      <c r="S6" s="27"/>
    </row>
    <row r="7" spans="1:19" s="74" customFormat="1" ht="24.75" customHeight="1">
      <c r="A7" s="84"/>
      <c r="B7" s="84"/>
      <c r="C7" s="84" t="s">
        <v>397</v>
      </c>
      <c r="D7" s="84"/>
      <c r="E7" s="84"/>
      <c r="F7" s="76">
        <v>151067</v>
      </c>
      <c r="G7" s="76">
        <v>190245</v>
      </c>
      <c r="H7" s="76">
        <v>158854</v>
      </c>
      <c r="I7" s="76">
        <v>182438</v>
      </c>
      <c r="J7" s="76">
        <v>192448</v>
      </c>
      <c r="K7" s="76">
        <v>233363</v>
      </c>
      <c r="L7" s="76">
        <v>248011</v>
      </c>
      <c r="M7" s="76">
        <v>242697</v>
      </c>
      <c r="N7" s="76">
        <v>188100</v>
      </c>
      <c r="O7" s="76">
        <v>282834</v>
      </c>
      <c r="P7" s="76"/>
      <c r="Q7" s="76">
        <v>4894695</v>
      </c>
      <c r="R7" s="76">
        <v>158225</v>
      </c>
      <c r="S7" s="77">
        <f>(N7/Q7)*100</f>
        <v>3.8429360767116236</v>
      </c>
    </row>
    <row r="8" spans="1:19" s="74" customFormat="1" ht="24.75" customHeight="1">
      <c r="A8" s="85"/>
      <c r="B8" s="85"/>
      <c r="C8" s="85" t="s">
        <v>296</v>
      </c>
      <c r="D8" s="85"/>
      <c r="E8" s="85"/>
      <c r="F8" s="71">
        <v>61575</v>
      </c>
      <c r="G8" s="71">
        <v>66857</v>
      </c>
      <c r="H8" s="71">
        <v>58592</v>
      </c>
      <c r="I8" s="71">
        <v>57579</v>
      </c>
      <c r="J8" s="71">
        <v>62651</v>
      </c>
      <c r="K8" s="71">
        <v>88693</v>
      </c>
      <c r="L8" s="71">
        <v>75505</v>
      </c>
      <c r="M8" s="71">
        <v>57896</v>
      </c>
      <c r="N8" s="71">
        <v>55804</v>
      </c>
      <c r="O8" s="71">
        <v>93988</v>
      </c>
      <c r="P8" s="71"/>
      <c r="Q8" s="71">
        <v>1433303</v>
      </c>
      <c r="R8" s="71">
        <v>57603</v>
      </c>
      <c r="S8" s="72">
        <f>(N8/Q8)*100</f>
        <v>3.89338472046734</v>
      </c>
    </row>
    <row r="9" spans="1:19" s="74" customFormat="1" ht="24.75" customHeight="1">
      <c r="A9" s="84"/>
      <c r="B9" s="122" t="s">
        <v>297</v>
      </c>
      <c r="C9" s="122"/>
      <c r="D9" s="122"/>
      <c r="E9" s="122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89"/>
    </row>
    <row r="10" spans="1:19" s="74" customFormat="1" ht="24.75" customHeight="1">
      <c r="A10" s="84"/>
      <c r="B10" s="84"/>
      <c r="C10" s="466" t="s">
        <v>298</v>
      </c>
      <c r="D10" s="466"/>
      <c r="E10" s="466"/>
      <c r="F10" s="76">
        <v>41032</v>
      </c>
      <c r="G10" s="76">
        <v>48094</v>
      </c>
      <c r="H10" s="76">
        <v>20440</v>
      </c>
      <c r="I10" s="76">
        <v>49527</v>
      </c>
      <c r="J10" s="76">
        <v>52989</v>
      </c>
      <c r="K10" s="76">
        <v>54592</v>
      </c>
      <c r="L10" s="76">
        <v>58408</v>
      </c>
      <c r="M10" s="76">
        <v>44976</v>
      </c>
      <c r="N10" s="76">
        <v>16468</v>
      </c>
      <c r="O10" s="76">
        <v>21692</v>
      </c>
      <c r="P10" s="76"/>
      <c r="Q10" s="76" t="s">
        <v>55</v>
      </c>
      <c r="R10" s="76">
        <v>27582</v>
      </c>
      <c r="S10" s="77" t="s">
        <v>55</v>
      </c>
    </row>
    <row r="11" spans="1:19" s="74" customFormat="1" ht="24.75" customHeight="1">
      <c r="A11" s="84"/>
      <c r="B11" s="84"/>
      <c r="C11" s="84" t="s">
        <v>299</v>
      </c>
      <c r="D11" s="84"/>
      <c r="E11" s="84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7"/>
    </row>
    <row r="12" spans="1:19" s="74" customFormat="1" ht="24.75" customHeight="1">
      <c r="A12" s="85"/>
      <c r="B12" s="85"/>
      <c r="C12" s="85" t="s">
        <v>387</v>
      </c>
      <c r="D12" s="85"/>
      <c r="E12" s="85"/>
      <c r="F12" s="71">
        <v>29</v>
      </c>
      <c r="G12" s="71">
        <v>30</v>
      </c>
      <c r="H12" s="71">
        <v>30</v>
      </c>
      <c r="I12" s="71">
        <v>31</v>
      </c>
      <c r="J12" s="71">
        <v>37</v>
      </c>
      <c r="K12" s="71">
        <v>37</v>
      </c>
      <c r="L12" s="71">
        <v>39</v>
      </c>
      <c r="M12" s="71">
        <v>40</v>
      </c>
      <c r="N12" s="71">
        <v>41</v>
      </c>
      <c r="O12" s="71">
        <v>42</v>
      </c>
      <c r="P12" s="71"/>
      <c r="Q12" s="71" t="s">
        <v>55</v>
      </c>
      <c r="R12" s="71">
        <v>43</v>
      </c>
      <c r="S12" s="72" t="s">
        <v>55</v>
      </c>
    </row>
    <row r="13" spans="1:19" ht="24.75" customHeight="1">
      <c r="A13" s="250"/>
      <c r="B13" s="250"/>
      <c r="C13" s="250"/>
      <c r="D13" s="250"/>
      <c r="E13" s="250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2"/>
      <c r="R13" s="253"/>
      <c r="S13" s="254"/>
    </row>
    <row r="14" spans="1:19" s="128" customFormat="1" ht="24.75" customHeight="1">
      <c r="A14" s="258" t="s">
        <v>468</v>
      </c>
      <c r="B14" s="466" t="s">
        <v>596</v>
      </c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</row>
    <row r="15" spans="1:19" s="128" customFormat="1" ht="31.5" customHeight="1">
      <c r="A15" s="351" t="s">
        <v>7</v>
      </c>
      <c r="B15" s="474" t="s">
        <v>597</v>
      </c>
      <c r="C15" s="474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</row>
    <row r="16" spans="1:19" s="128" customFormat="1" ht="24.75" customHeight="1">
      <c r="A16" s="258" t="s">
        <v>42</v>
      </c>
      <c r="B16" s="75" t="s">
        <v>544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</row>
    <row r="17" spans="1:19" s="128" customFormat="1" ht="24.75" customHeight="1">
      <c r="A17" s="259" t="s">
        <v>43</v>
      </c>
      <c r="B17" s="466" t="s">
        <v>401</v>
      </c>
      <c r="C17" s="466"/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</row>
    <row r="18" spans="1:19" s="128" customFormat="1" ht="24.75" customHeight="1">
      <c r="A18" s="259" t="s">
        <v>44</v>
      </c>
      <c r="B18" s="260" t="s">
        <v>543</v>
      </c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</row>
    <row r="19" spans="1:19" s="128" customFormat="1" ht="24.75" customHeight="1">
      <c r="A19" s="259" t="s">
        <v>24</v>
      </c>
      <c r="B19" s="260" t="s">
        <v>482</v>
      </c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</row>
    <row r="20" spans="1:19" s="128" customFormat="1" ht="24.75" customHeight="1">
      <c r="A20" s="258" t="s">
        <v>9</v>
      </c>
      <c r="B20" s="260" t="s">
        <v>478</v>
      </c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</row>
    <row r="21" spans="1:19" s="128" customFormat="1" ht="24.75" customHeight="1">
      <c r="A21" s="258" t="s">
        <v>10</v>
      </c>
      <c r="B21" s="84" t="s">
        <v>469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1:19" s="128" customFormat="1" ht="31.5" customHeight="1">
      <c r="A22" s="261" t="s">
        <v>11</v>
      </c>
      <c r="B22" s="466" t="s">
        <v>690</v>
      </c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</row>
    <row r="23" spans="1:19" s="128" customFormat="1" ht="24.75" customHeight="1">
      <c r="A23" s="261" t="s">
        <v>12</v>
      </c>
      <c r="B23" s="82" t="s">
        <v>470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1:19" s="128" customFormat="1" ht="24.75" customHeight="1">
      <c r="A24" s="258" t="s">
        <v>13</v>
      </c>
      <c r="B24" s="82" t="s">
        <v>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</row>
    <row r="25" spans="1:19" s="128" customFormat="1" ht="24.75" customHeight="1">
      <c r="A25" s="258" t="s">
        <v>27</v>
      </c>
      <c r="B25" s="82" t="s">
        <v>472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</row>
    <row r="26" spans="1:19" s="128" customFormat="1" ht="24.75" customHeight="1">
      <c r="A26" s="258" t="s">
        <v>14</v>
      </c>
      <c r="B26" s="75" t="s">
        <v>598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</row>
    <row r="27" spans="1:19" s="128" customFormat="1" ht="24.75" customHeight="1">
      <c r="A27" s="258" t="s">
        <v>15</v>
      </c>
      <c r="B27" s="75" t="s">
        <v>479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</row>
    <row r="28" spans="1:19" s="4" customFormat="1" ht="24.75" customHeight="1">
      <c r="A28" s="258" t="s">
        <v>16</v>
      </c>
      <c r="B28" s="466" t="s">
        <v>565</v>
      </c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</row>
    <row r="29" spans="1:19" ht="24.75" customHeight="1">
      <c r="A29" s="13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</row>
    <row r="30" spans="1:19" ht="24.75" customHeight="1">
      <c r="A30" s="475" t="s">
        <v>599</v>
      </c>
      <c r="B30" s="475"/>
      <c r="C30" s="475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475"/>
      <c r="Q30" s="475"/>
      <c r="R30" s="475"/>
      <c r="S30" s="475"/>
    </row>
    <row r="31" spans="2:19" ht="15.75">
      <c r="B31" s="473"/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</row>
    <row r="87" spans="1:19" ht="18">
      <c r="A87" s="464">
        <v>13</v>
      </c>
      <c r="B87" s="464"/>
      <c r="C87" s="464"/>
      <c r="D87" s="464"/>
      <c r="E87" s="464"/>
      <c r="F87" s="464"/>
      <c r="G87" s="464"/>
      <c r="H87" s="464"/>
      <c r="I87" s="464"/>
      <c r="J87" s="464"/>
      <c r="K87" s="464"/>
      <c r="L87" s="464"/>
      <c r="M87" s="464"/>
      <c r="N87" s="464"/>
      <c r="O87" s="464"/>
      <c r="P87" s="464"/>
      <c r="Q87" s="464"/>
      <c r="R87" s="464"/>
      <c r="S87" s="464"/>
    </row>
  </sheetData>
  <sheetProtection/>
  <mergeCells count="22">
    <mergeCell ref="C10:E10"/>
    <mergeCell ref="O4:O5"/>
    <mergeCell ref="L4:L5"/>
    <mergeCell ref="M4:M5"/>
    <mergeCell ref="F4:F5"/>
    <mergeCell ref="B22:S22"/>
    <mergeCell ref="A87:S87"/>
    <mergeCell ref="Q4:S4"/>
    <mergeCell ref="B14:S14"/>
    <mergeCell ref="B31:S31"/>
    <mergeCell ref="B15:S15"/>
    <mergeCell ref="A30:S30"/>
    <mergeCell ref="B28:S28"/>
    <mergeCell ref="N4:N5"/>
    <mergeCell ref="B17:S17"/>
    <mergeCell ref="K4:K5"/>
    <mergeCell ref="R1:S1"/>
    <mergeCell ref="A4:E5"/>
    <mergeCell ref="G4:G5"/>
    <mergeCell ref="H4:H5"/>
    <mergeCell ref="I4:I5"/>
    <mergeCell ref="J4:J5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scale="43" r:id="rId2"/>
  <headerFooter alignWithMargins="0">
    <oddHeader>&amp;C
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theme="9" tint="-0.24997000396251678"/>
  </sheetPr>
  <dimension ref="A1:W79"/>
  <sheetViews>
    <sheetView showGridLines="0" tabSelected="1" view="pageBreakPreview" zoomScaleNormal="55" zoomScaleSheetLayoutView="100" zoomScalePageLayoutView="0" workbookViewId="0" topLeftCell="A1">
      <pane xSplit="5" ySplit="5" topLeftCell="N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S14" sqref="S14"/>
    </sheetView>
  </sheetViews>
  <sheetFormatPr defaultColWidth="9.77734375" defaultRowHeight="15.75"/>
  <cols>
    <col min="1" max="2" width="2.77734375" style="14" customWidth="1"/>
    <col min="3" max="4" width="2.77734375" style="13" customWidth="1"/>
    <col min="5" max="5" width="23.77734375" style="13" customWidth="1"/>
    <col min="6" max="6" width="11.77734375" style="14" customWidth="1"/>
    <col min="7" max="7" width="12.6640625" style="20" customWidth="1"/>
    <col min="8" max="8" width="11.77734375" style="20" customWidth="1"/>
    <col min="9" max="9" width="11.99609375" style="12" customWidth="1"/>
    <col min="10" max="10" width="13.10546875" style="12" customWidth="1"/>
    <col min="11" max="11" width="13.21484375" style="12" customWidth="1"/>
    <col min="12" max="12" width="12.6640625" style="12" customWidth="1"/>
    <col min="13" max="13" width="14.10546875" style="20" customWidth="1"/>
    <col min="14" max="14" width="12.77734375" style="20" customWidth="1"/>
    <col min="15" max="15" width="13.4453125" style="20" customWidth="1"/>
    <col min="16" max="16" width="1.77734375" style="20" customWidth="1"/>
    <col min="17" max="17" width="16.10546875" style="20" customWidth="1"/>
    <col min="18" max="18" width="13.5546875" style="20" customWidth="1"/>
    <col min="19" max="19" width="8.88671875" style="23" customWidth="1"/>
    <col min="20" max="16384" width="9.77734375" style="13" customWidth="1"/>
  </cols>
  <sheetData>
    <row r="1" spans="1:19" ht="24.75" customHeight="1">
      <c r="A1" s="129" t="s">
        <v>62</v>
      </c>
      <c r="B1" s="129"/>
      <c r="C1" s="129"/>
      <c r="D1" s="129"/>
      <c r="E1" s="129"/>
      <c r="F1" s="129"/>
      <c r="G1" s="129"/>
      <c r="H1" s="129"/>
      <c r="I1" s="129"/>
      <c r="J1" s="5"/>
      <c r="K1" s="5"/>
      <c r="L1" s="5"/>
      <c r="M1" s="5"/>
      <c r="N1" s="5"/>
      <c r="O1" s="5"/>
      <c r="P1" s="5"/>
      <c r="Q1" s="5"/>
      <c r="R1" s="469" t="s">
        <v>63</v>
      </c>
      <c r="S1" s="469"/>
    </row>
    <row r="2" spans="1:19" ht="24.75" customHeight="1">
      <c r="A2" s="129" t="s">
        <v>512</v>
      </c>
      <c r="B2" s="130"/>
      <c r="C2" s="130"/>
      <c r="D2" s="130"/>
      <c r="E2" s="130"/>
      <c r="F2" s="130"/>
      <c r="G2" s="130"/>
      <c r="H2" s="130"/>
      <c r="I2" s="130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4.75" customHeight="1">
      <c r="A3" s="134"/>
      <c r="B3" s="132"/>
      <c r="C3" s="132"/>
      <c r="D3" s="132"/>
      <c r="E3" s="132"/>
      <c r="F3" s="132"/>
      <c r="G3" s="133"/>
      <c r="H3" s="133"/>
      <c r="I3" s="129"/>
      <c r="J3" s="10"/>
      <c r="K3" s="10"/>
      <c r="L3" s="10"/>
      <c r="M3" s="10"/>
      <c r="N3" s="10"/>
      <c r="O3" s="10"/>
      <c r="P3" s="10"/>
      <c r="Q3" s="9"/>
      <c r="R3" s="9"/>
      <c r="S3" s="4"/>
    </row>
    <row r="4" spans="1:19" ht="24.75" customHeight="1">
      <c r="A4" s="470" t="s">
        <v>64</v>
      </c>
      <c r="B4" s="470"/>
      <c r="C4" s="470"/>
      <c r="D4" s="470"/>
      <c r="E4" s="470"/>
      <c r="F4" s="458">
        <v>2003</v>
      </c>
      <c r="G4" s="458">
        <v>2004</v>
      </c>
      <c r="H4" s="458">
        <v>2005</v>
      </c>
      <c r="I4" s="458">
        <v>2006</v>
      </c>
      <c r="J4" s="458">
        <v>2007</v>
      </c>
      <c r="K4" s="458">
        <v>2008</v>
      </c>
      <c r="L4" s="458">
        <v>2009</v>
      </c>
      <c r="M4" s="458">
        <v>2010</v>
      </c>
      <c r="N4" s="458">
        <v>2011</v>
      </c>
      <c r="O4" s="458">
        <v>2012</v>
      </c>
      <c r="P4" s="126"/>
      <c r="Q4" s="472" t="s">
        <v>499</v>
      </c>
      <c r="R4" s="472"/>
      <c r="S4" s="472"/>
    </row>
    <row r="5" spans="1:19" ht="24.75" customHeight="1">
      <c r="A5" s="471"/>
      <c r="B5" s="471"/>
      <c r="C5" s="471"/>
      <c r="D5" s="471"/>
      <c r="E5" s="471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131"/>
      <c r="Q5" s="131" t="s">
        <v>65</v>
      </c>
      <c r="R5" s="131" t="s">
        <v>66</v>
      </c>
      <c r="S5" s="131" t="s">
        <v>19</v>
      </c>
    </row>
    <row r="6" spans="1:19" ht="24.75" customHeight="1">
      <c r="A6" s="79" t="s">
        <v>67</v>
      </c>
      <c r="B6" s="74"/>
      <c r="C6" s="84"/>
      <c r="D6" s="84"/>
      <c r="E6" s="84"/>
      <c r="F6" s="136"/>
      <c r="G6" s="136"/>
      <c r="H6" s="136"/>
      <c r="I6" s="137"/>
      <c r="J6" s="98"/>
      <c r="K6" s="98"/>
      <c r="L6" s="98"/>
      <c r="M6" s="98"/>
      <c r="N6" s="74"/>
      <c r="O6" s="74"/>
      <c r="P6" s="98"/>
      <c r="Q6" s="98"/>
      <c r="R6" s="98"/>
      <c r="S6" s="136"/>
    </row>
    <row r="7" spans="1:19" ht="24.75" customHeight="1">
      <c r="A7" s="75"/>
      <c r="B7" s="75" t="s">
        <v>68</v>
      </c>
      <c r="C7" s="74"/>
      <c r="D7" s="74"/>
      <c r="E7" s="84"/>
      <c r="F7" s="138"/>
      <c r="G7" s="138"/>
      <c r="H7" s="138"/>
      <c r="I7" s="138"/>
      <c r="J7" s="139"/>
      <c r="K7" s="139"/>
      <c r="L7" s="139"/>
      <c r="M7" s="139"/>
      <c r="N7" s="74"/>
      <c r="O7" s="74"/>
      <c r="P7" s="139"/>
      <c r="Q7" s="139"/>
      <c r="R7" s="139"/>
      <c r="S7" s="136"/>
    </row>
    <row r="8" spans="1:19" s="4" customFormat="1" ht="24.75" customHeight="1">
      <c r="A8" s="140"/>
      <c r="B8" s="140" t="s">
        <v>29</v>
      </c>
      <c r="C8" s="91"/>
      <c r="D8" s="91"/>
      <c r="E8" s="141"/>
      <c r="F8" s="147">
        <v>708250.69</v>
      </c>
      <c r="G8" s="147">
        <v>779148.5</v>
      </c>
      <c r="H8" s="147">
        <v>850221.43</v>
      </c>
      <c r="I8" s="147">
        <v>933205.91</v>
      </c>
      <c r="J8" s="147">
        <v>1017095.47</v>
      </c>
      <c r="K8" s="147">
        <v>1085540.4</v>
      </c>
      <c r="L8" s="147">
        <v>1114609.89</v>
      </c>
      <c r="M8" s="147">
        <v>1239917.21</v>
      </c>
      <c r="N8" s="147">
        <v>1333513.95</v>
      </c>
      <c r="O8" s="147">
        <v>1428481.02</v>
      </c>
      <c r="P8" s="147"/>
      <c r="Q8" s="147">
        <v>16076939.7</v>
      </c>
      <c r="R8" s="147">
        <v>1473920.5358335143</v>
      </c>
      <c r="S8" s="142">
        <f>(R8/Q8)*100</f>
        <v>9.167917298548518</v>
      </c>
    </row>
    <row r="9" spans="1:19" ht="24.75" customHeight="1">
      <c r="A9" s="75"/>
      <c r="B9" s="75" t="s">
        <v>155</v>
      </c>
      <c r="C9" s="74"/>
      <c r="D9" s="74"/>
      <c r="E9" s="84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3"/>
    </row>
    <row r="10" spans="1:19" s="45" customFormat="1" ht="24.75" customHeight="1">
      <c r="A10" s="75"/>
      <c r="B10" s="75" t="s">
        <v>29</v>
      </c>
      <c r="C10" s="82"/>
      <c r="D10" s="82"/>
      <c r="E10" s="84"/>
      <c r="F10" s="148">
        <v>673821.26</v>
      </c>
      <c r="G10" s="148">
        <v>745665.35</v>
      </c>
      <c r="H10" s="148">
        <v>816020.59</v>
      </c>
      <c r="I10" s="148">
        <v>899014.21</v>
      </c>
      <c r="J10" s="148">
        <v>979529.41</v>
      </c>
      <c r="K10" s="148">
        <v>1058285.26</v>
      </c>
      <c r="L10" s="148">
        <v>1070010.79</v>
      </c>
      <c r="M10" s="148">
        <v>1191184.64</v>
      </c>
      <c r="N10" s="148">
        <v>1288635.27</v>
      </c>
      <c r="O10" s="148">
        <v>1385532.62</v>
      </c>
      <c r="P10" s="148"/>
      <c r="Q10" s="148">
        <v>15479623.01</v>
      </c>
      <c r="R10" s="148">
        <v>1420860.6651954565</v>
      </c>
      <c r="S10" s="143">
        <f>(R10/Q10)*100</f>
        <v>9.178910004963075</v>
      </c>
    </row>
    <row r="11" spans="1:19" ht="24.75" customHeight="1">
      <c r="A11" s="79" t="s">
        <v>69</v>
      </c>
      <c r="B11" s="74"/>
      <c r="C11" s="75"/>
      <c r="D11" s="75"/>
      <c r="E11" s="84"/>
      <c r="F11" s="143"/>
      <c r="G11" s="143"/>
      <c r="H11" s="143"/>
      <c r="I11" s="143"/>
      <c r="J11" s="143"/>
      <c r="K11" s="143"/>
      <c r="L11" s="143"/>
      <c r="M11" s="143"/>
      <c r="N11" s="74"/>
      <c r="O11" s="74"/>
      <c r="P11" s="143"/>
      <c r="Q11" s="143"/>
      <c r="R11" s="74"/>
      <c r="S11" s="143"/>
    </row>
    <row r="12" spans="1:19" ht="24.75" customHeight="1">
      <c r="A12" s="84"/>
      <c r="B12" s="84" t="s">
        <v>70</v>
      </c>
      <c r="C12" s="84"/>
      <c r="D12" s="84"/>
      <c r="E12" s="135"/>
      <c r="F12" s="144"/>
      <c r="G12" s="144"/>
      <c r="H12" s="144"/>
      <c r="I12" s="144"/>
      <c r="J12" s="144"/>
      <c r="K12" s="144"/>
      <c r="L12" s="144"/>
      <c r="M12" s="144"/>
      <c r="N12" s="74"/>
      <c r="O12" s="74"/>
      <c r="P12" s="144"/>
      <c r="Q12" s="144"/>
      <c r="R12" s="74"/>
      <c r="S12" s="144"/>
    </row>
    <row r="13" spans="1:19" ht="24.75" customHeight="1">
      <c r="A13" s="84"/>
      <c r="B13" s="84" t="s">
        <v>60</v>
      </c>
      <c r="C13" s="84"/>
      <c r="D13" s="84"/>
      <c r="E13" s="135"/>
      <c r="F13" s="144"/>
      <c r="G13" s="144"/>
      <c r="H13" s="144"/>
      <c r="I13" s="144"/>
      <c r="J13" s="144"/>
      <c r="K13" s="144"/>
      <c r="L13" s="144"/>
      <c r="M13" s="144"/>
      <c r="N13" s="74"/>
      <c r="O13" s="74"/>
      <c r="P13" s="144"/>
      <c r="Q13" s="144"/>
      <c r="R13" s="74"/>
      <c r="S13" s="144"/>
    </row>
    <row r="14" spans="1:20" s="4" customFormat="1" ht="24.75" customHeight="1">
      <c r="A14" s="141"/>
      <c r="B14" s="140"/>
      <c r="C14" s="465" t="s">
        <v>495</v>
      </c>
      <c r="D14" s="465"/>
      <c r="E14" s="465"/>
      <c r="F14" s="267">
        <v>41.63</v>
      </c>
      <c r="G14" s="267">
        <v>43.297</v>
      </c>
      <c r="H14" s="267">
        <v>45.24</v>
      </c>
      <c r="I14" s="267">
        <v>47.05</v>
      </c>
      <c r="J14" s="267">
        <v>48.88</v>
      </c>
      <c r="K14" s="267">
        <v>50.84</v>
      </c>
      <c r="L14" s="267">
        <v>53.19</v>
      </c>
      <c r="M14" s="267">
        <v>55.77</v>
      </c>
      <c r="N14" s="267">
        <v>58.06</v>
      </c>
      <c r="O14" s="267">
        <v>60.75</v>
      </c>
      <c r="P14" s="267"/>
      <c r="Q14" s="267">
        <v>63.12</v>
      </c>
      <c r="R14" s="267">
        <v>63.07</v>
      </c>
      <c r="S14" s="142" t="s">
        <v>55</v>
      </c>
      <c r="T14" s="4">
        <f>(R15+R16)/2</f>
        <v>63.07000000000001</v>
      </c>
    </row>
    <row r="15" spans="1:19" s="45" customFormat="1" ht="24.75" customHeight="1">
      <c r="A15" s="84"/>
      <c r="B15" s="75"/>
      <c r="C15" s="75" t="s">
        <v>72</v>
      </c>
      <c r="D15" s="75"/>
      <c r="E15" s="135"/>
      <c r="F15" s="268">
        <v>40.3</v>
      </c>
      <c r="G15" s="268">
        <v>42.11</v>
      </c>
      <c r="H15" s="268">
        <v>44.05</v>
      </c>
      <c r="I15" s="268">
        <v>45.81</v>
      </c>
      <c r="J15" s="268">
        <v>47.6</v>
      </c>
      <c r="K15" s="268">
        <v>49.5</v>
      </c>
      <c r="L15" s="268">
        <v>51.95</v>
      </c>
      <c r="M15" s="268">
        <v>54.47</v>
      </c>
      <c r="N15" s="269">
        <v>56.7</v>
      </c>
      <c r="O15" s="269">
        <v>59.08</v>
      </c>
      <c r="P15" s="268"/>
      <c r="Q15" s="269">
        <v>64.76</v>
      </c>
      <c r="R15" s="269">
        <v>64.76</v>
      </c>
      <c r="S15" s="143" t="s">
        <v>55</v>
      </c>
    </row>
    <row r="16" spans="1:19" s="4" customFormat="1" ht="24.75" customHeight="1">
      <c r="A16" s="141"/>
      <c r="B16" s="140"/>
      <c r="C16" s="140" t="s">
        <v>73</v>
      </c>
      <c r="D16" s="140"/>
      <c r="E16" s="145"/>
      <c r="F16" s="267">
        <v>43.65</v>
      </c>
      <c r="G16" s="267">
        <v>45.24</v>
      </c>
      <c r="H16" s="267">
        <v>46.8</v>
      </c>
      <c r="I16" s="267">
        <v>48.67</v>
      </c>
      <c r="J16" s="267">
        <v>50.57</v>
      </c>
      <c r="K16" s="267">
        <v>52.59</v>
      </c>
      <c r="L16" s="267">
        <v>54.8</v>
      </c>
      <c r="M16" s="267">
        <v>57.46</v>
      </c>
      <c r="N16" s="270">
        <v>59.82</v>
      </c>
      <c r="O16" s="270">
        <v>62.33</v>
      </c>
      <c r="P16" s="267"/>
      <c r="Q16" s="270">
        <v>61.38</v>
      </c>
      <c r="R16" s="270">
        <v>61.38</v>
      </c>
      <c r="S16" s="142" t="s">
        <v>55</v>
      </c>
    </row>
    <row r="17" spans="1:19" ht="24.75" customHeight="1">
      <c r="A17" s="79" t="s">
        <v>74</v>
      </c>
      <c r="B17" s="79"/>
      <c r="C17" s="84"/>
      <c r="D17" s="84"/>
      <c r="E17" s="84"/>
      <c r="F17" s="268"/>
      <c r="G17" s="268"/>
      <c r="H17" s="268"/>
      <c r="I17" s="268"/>
      <c r="J17" s="268"/>
      <c r="K17" s="268"/>
      <c r="L17" s="268"/>
      <c r="M17" s="268"/>
      <c r="N17" s="271"/>
      <c r="O17" s="271"/>
      <c r="P17" s="268"/>
      <c r="Q17" s="268"/>
      <c r="R17" s="271"/>
      <c r="S17" s="144"/>
    </row>
    <row r="18" spans="1:19" ht="24.75" customHeight="1">
      <c r="A18" s="75"/>
      <c r="B18" s="75" t="s">
        <v>677</v>
      </c>
      <c r="C18" s="75"/>
      <c r="D18" s="75"/>
      <c r="E18" s="75"/>
      <c r="F18" s="272"/>
      <c r="G18" s="272"/>
      <c r="H18" s="272"/>
      <c r="I18" s="272"/>
      <c r="J18" s="272"/>
      <c r="K18" s="272"/>
      <c r="L18" s="272"/>
      <c r="M18" s="272"/>
      <c r="N18" s="271"/>
      <c r="O18" s="271"/>
      <c r="P18" s="272"/>
      <c r="Q18" s="272"/>
      <c r="R18" s="271"/>
      <c r="S18" s="143"/>
    </row>
    <row r="19" spans="1:19" s="45" customFormat="1" ht="24.75" customHeight="1">
      <c r="A19" s="140"/>
      <c r="B19" s="140" t="s">
        <v>31</v>
      </c>
      <c r="C19" s="140"/>
      <c r="D19" s="140"/>
      <c r="E19" s="140"/>
      <c r="F19" s="273">
        <v>11248878.6</v>
      </c>
      <c r="G19" s="273">
        <v>14071870.5</v>
      </c>
      <c r="H19" s="273">
        <v>15121092.9</v>
      </c>
      <c r="I19" s="273">
        <v>16668728.5</v>
      </c>
      <c r="J19" s="273">
        <v>16897179.2</v>
      </c>
      <c r="K19" s="273">
        <v>22251102.8</v>
      </c>
      <c r="L19" s="273">
        <v>23150262.7</v>
      </c>
      <c r="M19" s="273">
        <v>21585249.6</v>
      </c>
      <c r="N19" s="273">
        <v>21919231.7</v>
      </c>
      <c r="O19" s="273">
        <v>25375685.8</v>
      </c>
      <c r="P19" s="273"/>
      <c r="Q19" s="273">
        <v>749205279.8</v>
      </c>
      <c r="R19" s="273">
        <v>34094493.4</v>
      </c>
      <c r="S19" s="142">
        <f>(R19/Q19)*100</f>
        <v>4.550754555427253</v>
      </c>
    </row>
    <row r="20" spans="1:19" ht="24.75" customHeight="1">
      <c r="A20" s="75"/>
      <c r="B20" s="466" t="s">
        <v>390</v>
      </c>
      <c r="C20" s="466"/>
      <c r="D20" s="466"/>
      <c r="E20" s="466"/>
      <c r="F20" s="272"/>
      <c r="G20" s="272"/>
      <c r="H20" s="272"/>
      <c r="I20" s="272"/>
      <c r="J20" s="272"/>
      <c r="K20" s="272"/>
      <c r="L20" s="272"/>
      <c r="M20" s="272"/>
      <c r="N20" s="271"/>
      <c r="O20" s="271"/>
      <c r="P20" s="272"/>
      <c r="Q20" s="272"/>
      <c r="R20" s="271"/>
      <c r="S20" s="143"/>
    </row>
    <row r="21" spans="1:19" s="4" customFormat="1" ht="24.75" customHeight="1">
      <c r="A21" s="75"/>
      <c r="B21" s="75" t="s">
        <v>31</v>
      </c>
      <c r="C21" s="82"/>
      <c r="D21" s="82"/>
      <c r="E21" s="75"/>
      <c r="F21" s="272">
        <v>9616386.21</v>
      </c>
      <c r="G21" s="272">
        <v>9197451.18888</v>
      </c>
      <c r="H21" s="272">
        <v>11595997.53027</v>
      </c>
      <c r="I21" s="272">
        <v>14447966.53857</v>
      </c>
      <c r="J21" s="272">
        <v>19327187.57293</v>
      </c>
      <c r="K21" s="272">
        <v>31516826.759999998</v>
      </c>
      <c r="L21" s="272">
        <f>29833094994.65/1000</f>
        <v>29833094.994650003</v>
      </c>
      <c r="M21" s="272">
        <v>33282682.75812</v>
      </c>
      <c r="N21" s="272">
        <v>33711536.83703</v>
      </c>
      <c r="O21" s="272">
        <f>34299067469.49/1000</f>
        <v>34299067.46949</v>
      </c>
      <c r="P21" s="272"/>
      <c r="Q21" s="272" t="s">
        <v>55</v>
      </c>
      <c r="R21" s="272">
        <v>36213331.047</v>
      </c>
      <c r="S21" s="143" t="s">
        <v>55</v>
      </c>
    </row>
    <row r="22" spans="1:19" s="45" customFormat="1" ht="24.75" customHeight="1">
      <c r="A22" s="140"/>
      <c r="B22" s="140"/>
      <c r="C22" s="140" t="s">
        <v>391</v>
      </c>
      <c r="D22" s="140"/>
      <c r="E22" s="140"/>
      <c r="F22" s="273">
        <v>4124843</v>
      </c>
      <c r="G22" s="273">
        <v>3197650.7905900003</v>
      </c>
      <c r="H22" s="273">
        <v>4766567.95127</v>
      </c>
      <c r="I22" s="273">
        <v>7097214.132569999</v>
      </c>
      <c r="J22" s="273">
        <v>11194503.045820002</v>
      </c>
      <c r="K22" s="273">
        <v>21946820.22</v>
      </c>
      <c r="L22" s="273">
        <f>19491920275.88/1000</f>
        <v>19491920.27588</v>
      </c>
      <c r="M22" s="273">
        <v>24369044.787119996</v>
      </c>
      <c r="N22" s="273">
        <v>23889218.402029995</v>
      </c>
      <c r="O22" s="273">
        <f>24694201933.49/1000</f>
        <v>24694201.93349</v>
      </c>
      <c r="P22" s="273"/>
      <c r="Q22" s="273" t="s">
        <v>55</v>
      </c>
      <c r="R22" s="273">
        <v>25861853.049</v>
      </c>
      <c r="S22" s="142" t="s">
        <v>55</v>
      </c>
    </row>
    <row r="23" spans="1:19" s="4" customFormat="1" ht="24.75" customHeight="1">
      <c r="A23" s="84"/>
      <c r="B23" s="84"/>
      <c r="C23" s="84" t="s">
        <v>75</v>
      </c>
      <c r="D23" s="84"/>
      <c r="E23" s="84"/>
      <c r="F23" s="272">
        <v>5390250.7328</v>
      </c>
      <c r="G23" s="272">
        <v>5837542.857</v>
      </c>
      <c r="H23" s="272">
        <v>6675335.815</v>
      </c>
      <c r="I23" s="272">
        <v>7194900.797</v>
      </c>
      <c r="J23" s="272">
        <v>7901945.68939</v>
      </c>
      <c r="K23" s="272">
        <v>9570006.54</v>
      </c>
      <c r="L23" s="272">
        <f>10082849019.77/1000</f>
        <v>10082849.01977</v>
      </c>
      <c r="M23" s="272">
        <v>8913637.971000003</v>
      </c>
      <c r="N23" s="272">
        <v>9822318.435</v>
      </c>
      <c r="O23" s="272">
        <f>9604865536/1000</f>
        <v>9604865.536</v>
      </c>
      <c r="P23" s="272"/>
      <c r="Q23" s="272" t="s">
        <v>55</v>
      </c>
      <c r="R23" s="272">
        <v>10351477.998</v>
      </c>
      <c r="S23" s="143" t="s">
        <v>55</v>
      </c>
    </row>
    <row r="24" spans="1:19" s="45" customFormat="1" ht="24.75" customHeight="1">
      <c r="A24" s="141"/>
      <c r="B24" s="141"/>
      <c r="C24" s="141" t="s">
        <v>76</v>
      </c>
      <c r="D24" s="141"/>
      <c r="E24" s="141"/>
      <c r="F24" s="273">
        <v>101292.4801</v>
      </c>
      <c r="G24" s="273">
        <v>162257.54129</v>
      </c>
      <c r="H24" s="273">
        <v>154093.764</v>
      </c>
      <c r="I24" s="273">
        <v>155851.609</v>
      </c>
      <c r="J24" s="273">
        <v>230738.83772</v>
      </c>
      <c r="K24" s="273">
        <v>0</v>
      </c>
      <c r="L24" s="273">
        <f>258325699/1000</f>
        <v>258325.699</v>
      </c>
      <c r="M24" s="273">
        <v>0</v>
      </c>
      <c r="N24" s="273">
        <v>0</v>
      </c>
      <c r="O24" s="273">
        <v>0</v>
      </c>
      <c r="P24" s="273"/>
      <c r="Q24" s="273" t="s">
        <v>55</v>
      </c>
      <c r="R24" s="273">
        <v>0</v>
      </c>
      <c r="S24" s="142" t="s">
        <v>55</v>
      </c>
    </row>
    <row r="25" spans="1:19" ht="24.75" customHeight="1">
      <c r="A25" s="75"/>
      <c r="B25" s="75" t="s">
        <v>392</v>
      </c>
      <c r="C25" s="74"/>
      <c r="D25" s="74"/>
      <c r="E25" s="84"/>
      <c r="F25" s="272"/>
      <c r="G25" s="272"/>
      <c r="H25" s="272"/>
      <c r="I25" s="272"/>
      <c r="J25" s="272"/>
      <c r="K25" s="272"/>
      <c r="L25" s="272"/>
      <c r="M25" s="272"/>
      <c r="N25" s="271"/>
      <c r="O25" s="271"/>
      <c r="P25" s="272"/>
      <c r="Q25" s="272"/>
      <c r="R25" s="271"/>
      <c r="S25" s="143"/>
    </row>
    <row r="26" spans="1:19" s="4" customFormat="1" ht="24.75" customHeight="1">
      <c r="A26" s="75"/>
      <c r="B26" s="75" t="s">
        <v>31</v>
      </c>
      <c r="C26" s="82"/>
      <c r="D26" s="82"/>
      <c r="E26" s="84"/>
      <c r="F26" s="272">
        <v>67773289.2</v>
      </c>
      <c r="G26" s="272">
        <v>80392337.1</v>
      </c>
      <c r="H26" s="272">
        <v>88875741.6</v>
      </c>
      <c r="I26" s="272">
        <v>104683299.8</v>
      </c>
      <c r="J26" s="272">
        <v>116530235.4</v>
      </c>
      <c r="K26" s="272">
        <v>147992564.2</v>
      </c>
      <c r="L26" s="272">
        <v>152712865.7</v>
      </c>
      <c r="M26" s="272">
        <v>171651094.8</v>
      </c>
      <c r="N26" s="272">
        <v>184527925.8</v>
      </c>
      <c r="O26" s="272">
        <v>200597518.8</v>
      </c>
      <c r="P26" s="272"/>
      <c r="Q26" s="272">
        <v>3800415600</v>
      </c>
      <c r="R26" s="272">
        <v>219586339.3</v>
      </c>
      <c r="S26" s="272">
        <f>(R26/Q26)*100</f>
        <v>5.777955950396583</v>
      </c>
    </row>
    <row r="27" spans="1:19" s="45" customFormat="1" ht="24.75" customHeight="1">
      <c r="A27" s="141"/>
      <c r="B27" s="141"/>
      <c r="C27" s="140" t="s">
        <v>77</v>
      </c>
      <c r="D27" s="140"/>
      <c r="E27" s="141"/>
      <c r="F27" s="273">
        <v>66366604.2</v>
      </c>
      <c r="G27" s="273">
        <v>77924541.5</v>
      </c>
      <c r="H27" s="273">
        <v>83875826.5</v>
      </c>
      <c r="I27" s="273">
        <v>98762043.7</v>
      </c>
      <c r="J27" s="273">
        <v>111743767</v>
      </c>
      <c r="K27" s="273">
        <v>142070927.1</v>
      </c>
      <c r="L27" s="273">
        <v>146713323.7</v>
      </c>
      <c r="M27" s="273">
        <v>164747473</v>
      </c>
      <c r="N27" s="273">
        <v>179516961.6</v>
      </c>
      <c r="O27" s="273">
        <v>190890464.7</v>
      </c>
      <c r="P27" s="273"/>
      <c r="Q27" s="273">
        <v>3800415600</v>
      </c>
      <c r="R27" s="273">
        <v>215711414.2</v>
      </c>
      <c r="S27" s="142">
        <f>(R27/Q27)*100</f>
        <v>5.675995388504352</v>
      </c>
    </row>
    <row r="28" spans="1:19" s="4" customFormat="1" ht="24.75" customHeight="1">
      <c r="A28" s="75"/>
      <c r="B28" s="75"/>
      <c r="C28" s="75" t="s">
        <v>78</v>
      </c>
      <c r="D28" s="75"/>
      <c r="E28" s="75"/>
      <c r="F28" s="272">
        <v>1406685</v>
      </c>
      <c r="G28" s="272">
        <v>2467795.6</v>
      </c>
      <c r="H28" s="272">
        <v>4999915.1</v>
      </c>
      <c r="I28" s="272">
        <v>5921256.1</v>
      </c>
      <c r="J28" s="272">
        <v>4786468.4</v>
      </c>
      <c r="K28" s="272">
        <v>4515064.4</v>
      </c>
      <c r="L28" s="272">
        <v>4961152.8</v>
      </c>
      <c r="M28" s="272">
        <v>4990058.2</v>
      </c>
      <c r="N28" s="272">
        <v>4635296.1</v>
      </c>
      <c r="O28" s="272">
        <v>9571297.9</v>
      </c>
      <c r="P28" s="272"/>
      <c r="Q28" s="272">
        <v>0</v>
      </c>
      <c r="R28" s="272">
        <v>3714338.4</v>
      </c>
      <c r="S28" s="143" t="s">
        <v>55</v>
      </c>
    </row>
    <row r="29" spans="1:19" ht="24.75" customHeight="1">
      <c r="A29" s="84"/>
      <c r="B29" s="84" t="s">
        <v>393</v>
      </c>
      <c r="C29" s="74"/>
      <c r="D29" s="74"/>
      <c r="E29" s="75"/>
      <c r="F29" s="268"/>
      <c r="G29" s="268"/>
      <c r="H29" s="268"/>
      <c r="I29" s="268"/>
      <c r="J29" s="268"/>
      <c r="K29" s="268"/>
      <c r="L29" s="268"/>
      <c r="M29" s="268"/>
      <c r="N29" s="271"/>
      <c r="O29" s="271"/>
      <c r="P29" s="268"/>
      <c r="Q29" s="268"/>
      <c r="R29" s="271"/>
      <c r="S29" s="143"/>
    </row>
    <row r="30" spans="1:19" s="45" customFormat="1" ht="24.75" customHeight="1">
      <c r="A30" s="141"/>
      <c r="B30" s="140" t="s">
        <v>31</v>
      </c>
      <c r="C30" s="91"/>
      <c r="D30" s="91"/>
      <c r="E30" s="140"/>
      <c r="F30" s="267">
        <v>65815582.5</v>
      </c>
      <c r="G30" s="267">
        <v>77058228</v>
      </c>
      <c r="H30" s="267">
        <v>87295570.2</v>
      </c>
      <c r="I30" s="267">
        <v>102630145</v>
      </c>
      <c r="J30" s="267">
        <v>111403577</v>
      </c>
      <c r="K30" s="267">
        <v>141399529.8</v>
      </c>
      <c r="L30" s="267">
        <v>144237585.6</v>
      </c>
      <c r="M30" s="267">
        <v>166612075.2</v>
      </c>
      <c r="N30" s="267">
        <v>179430831.7</v>
      </c>
      <c r="O30" s="267">
        <v>194377866.4</v>
      </c>
      <c r="P30" s="267"/>
      <c r="Q30" s="267">
        <f>+Q31+Q32+Q33+Q34</f>
        <v>1992042658.3140001</v>
      </c>
      <c r="R30" s="267">
        <v>208297291.1</v>
      </c>
      <c r="S30" s="142">
        <f>(R30/Q30)*100</f>
        <v>10.456467396953036</v>
      </c>
    </row>
    <row r="31" spans="1:19" s="4" customFormat="1" ht="24.75" customHeight="1">
      <c r="A31" s="84"/>
      <c r="B31" s="84"/>
      <c r="C31" s="84" t="s">
        <v>79</v>
      </c>
      <c r="D31" s="84"/>
      <c r="E31" s="84"/>
      <c r="F31" s="272">
        <v>570226.1</v>
      </c>
      <c r="G31" s="272">
        <v>630378.9</v>
      </c>
      <c r="H31" s="272">
        <v>800000</v>
      </c>
      <c r="I31" s="272">
        <v>860456.3</v>
      </c>
      <c r="J31" s="272">
        <v>949992.4</v>
      </c>
      <c r="K31" s="272">
        <v>1125457.5</v>
      </c>
      <c r="L31" s="272">
        <v>1173083.4</v>
      </c>
      <c r="M31" s="272">
        <v>1243886.1</v>
      </c>
      <c r="N31" s="272">
        <v>1315923.1</v>
      </c>
      <c r="O31" s="272">
        <v>1371075</v>
      </c>
      <c r="P31" s="272"/>
      <c r="Q31" s="272">
        <v>12603200</v>
      </c>
      <c r="R31" s="272">
        <v>1412140.7</v>
      </c>
      <c r="S31" s="143">
        <f>(R31/Q31)*100</f>
        <v>11.204620255173289</v>
      </c>
    </row>
    <row r="32" spans="1:19" s="45" customFormat="1" ht="24.75" customHeight="1">
      <c r="A32" s="141"/>
      <c r="B32" s="141"/>
      <c r="C32" s="140" t="s">
        <v>80</v>
      </c>
      <c r="D32" s="140"/>
      <c r="E32" s="141"/>
      <c r="F32" s="273">
        <v>797652.4</v>
      </c>
      <c r="G32" s="273">
        <v>954081</v>
      </c>
      <c r="H32" s="273">
        <v>1053000</v>
      </c>
      <c r="I32" s="273">
        <v>1175846.5</v>
      </c>
      <c r="J32" s="273">
        <v>1503611.5</v>
      </c>
      <c r="K32" s="273">
        <v>1782192.2</v>
      </c>
      <c r="L32" s="273">
        <v>1937711.8</v>
      </c>
      <c r="M32" s="273">
        <v>2294689.3</v>
      </c>
      <c r="N32" s="273">
        <v>2415214.2</v>
      </c>
      <c r="O32" s="273">
        <v>2580419.8</v>
      </c>
      <c r="P32" s="273"/>
      <c r="Q32" s="273">
        <v>43100700</v>
      </c>
      <c r="R32" s="273">
        <v>2672947.4</v>
      </c>
      <c r="S32" s="142">
        <f>(R32/Q32)*100</f>
        <v>6.201633384144572</v>
      </c>
    </row>
    <row r="33" spans="1:19" s="4" customFormat="1" ht="24.75" customHeight="1">
      <c r="A33" s="84"/>
      <c r="B33" s="84"/>
      <c r="C33" s="75" t="s">
        <v>394</v>
      </c>
      <c r="D33" s="75"/>
      <c r="E33" s="84"/>
      <c r="F33" s="268">
        <v>64447704</v>
      </c>
      <c r="G33" s="268">
        <v>75473768.1</v>
      </c>
      <c r="H33" s="268">
        <v>85442570.2</v>
      </c>
      <c r="I33" s="268">
        <v>100593842.2</v>
      </c>
      <c r="J33" s="268">
        <v>108949973.10000001</v>
      </c>
      <c r="K33" s="272">
        <v>138491880.1</v>
      </c>
      <c r="L33" s="268">
        <v>141126790.4</v>
      </c>
      <c r="M33" s="268">
        <v>163073499.8</v>
      </c>
      <c r="N33" s="268">
        <f>91366486.1+84333208.3</f>
        <v>175699694.39999998</v>
      </c>
      <c r="O33" s="268">
        <v>190426371.6</v>
      </c>
      <c r="P33" s="272"/>
      <c r="Q33" s="272">
        <v>976832700</v>
      </c>
      <c r="R33" s="268">
        <v>204212203</v>
      </c>
      <c r="S33" s="143">
        <f>(R33/Q33)*100</f>
        <v>20.905545340568555</v>
      </c>
    </row>
    <row r="34" spans="1:19" s="45" customFormat="1" ht="24.75" customHeight="1">
      <c r="A34" s="141"/>
      <c r="B34" s="141"/>
      <c r="C34" s="140" t="s">
        <v>395</v>
      </c>
      <c r="D34" s="140"/>
      <c r="E34" s="141"/>
      <c r="F34" s="267" t="s">
        <v>55</v>
      </c>
      <c r="G34" s="267" t="s">
        <v>55</v>
      </c>
      <c r="H34" s="267" t="s">
        <v>55</v>
      </c>
      <c r="I34" s="267" t="s">
        <v>55</v>
      </c>
      <c r="J34" s="267" t="s">
        <v>55</v>
      </c>
      <c r="K34" s="273" t="s">
        <v>55</v>
      </c>
      <c r="L34" s="273" t="s">
        <v>55</v>
      </c>
      <c r="M34" s="273" t="s">
        <v>55</v>
      </c>
      <c r="N34" s="273" t="s">
        <v>55</v>
      </c>
      <c r="O34" s="273" t="s">
        <v>55</v>
      </c>
      <c r="P34" s="273"/>
      <c r="Q34" s="273">
        <f>11019848.18+1375127.22+5429182.914+941681900</f>
        <v>959506058.314</v>
      </c>
      <c r="R34" s="273" t="s">
        <v>55</v>
      </c>
      <c r="S34" s="142" t="s">
        <v>55</v>
      </c>
    </row>
    <row r="35" spans="2:19" s="4" customFormat="1" ht="24.75" customHeight="1">
      <c r="B35" s="75" t="s">
        <v>593</v>
      </c>
      <c r="C35" s="75"/>
      <c r="D35" s="75"/>
      <c r="E35" s="84"/>
      <c r="F35" s="272">
        <f aca="true" t="shared" si="0" ref="F35:Q35">+F37+F42</f>
        <v>64447704</v>
      </c>
      <c r="G35" s="272">
        <f t="shared" si="0"/>
        <v>75473768.1</v>
      </c>
      <c r="H35" s="272">
        <f t="shared" si="0"/>
        <v>85442570.2</v>
      </c>
      <c r="I35" s="272">
        <f t="shared" si="0"/>
        <v>100593842.2</v>
      </c>
      <c r="J35" s="272">
        <f t="shared" si="0"/>
        <v>108949973.1</v>
      </c>
      <c r="K35" s="272">
        <f t="shared" si="0"/>
        <v>138491880.1</v>
      </c>
      <c r="L35" s="272">
        <f t="shared" si="0"/>
        <v>141126790.4</v>
      </c>
      <c r="M35" s="272">
        <f t="shared" si="0"/>
        <v>163073499.8</v>
      </c>
      <c r="N35" s="272">
        <f t="shared" si="0"/>
        <v>175699694.4</v>
      </c>
      <c r="O35" s="272">
        <f t="shared" si="0"/>
        <v>190426371.6</v>
      </c>
      <c r="P35" s="272"/>
      <c r="Q35" s="272">
        <f t="shared" si="0"/>
        <v>4162098000</v>
      </c>
      <c r="R35" s="272">
        <f>+R37+R42</f>
        <v>204212203</v>
      </c>
      <c r="S35" s="143">
        <f>(R35/Q35)*100</f>
        <v>4.906472721209352</v>
      </c>
    </row>
    <row r="36" spans="1:19" ht="24.75" customHeight="1">
      <c r="A36" s="84"/>
      <c r="B36" s="84" t="s">
        <v>591</v>
      </c>
      <c r="C36" s="74"/>
      <c r="D36" s="74"/>
      <c r="E36" s="84"/>
      <c r="F36" s="272"/>
      <c r="G36" s="272"/>
      <c r="H36" s="272"/>
      <c r="I36" s="272"/>
      <c r="J36" s="272"/>
      <c r="K36" s="272"/>
      <c r="L36" s="272"/>
      <c r="M36" s="272"/>
      <c r="N36" s="271"/>
      <c r="O36" s="271"/>
      <c r="P36" s="272"/>
      <c r="Q36" s="272"/>
      <c r="R36" s="271"/>
      <c r="S36" s="143"/>
    </row>
    <row r="37" spans="1:19" ht="24.75" customHeight="1">
      <c r="A37" s="85"/>
      <c r="B37" s="70" t="s">
        <v>31</v>
      </c>
      <c r="C37" s="91"/>
      <c r="D37" s="91"/>
      <c r="E37" s="85"/>
      <c r="F37" s="273">
        <v>50457360.4</v>
      </c>
      <c r="G37" s="273">
        <v>54610894.3</v>
      </c>
      <c r="H37" s="273">
        <v>63719872.1</v>
      </c>
      <c r="I37" s="273">
        <v>71577919.7</v>
      </c>
      <c r="J37" s="273">
        <v>81162027.1</v>
      </c>
      <c r="K37" s="273">
        <v>105465247.6</v>
      </c>
      <c r="L37" s="273">
        <v>107725336.9</v>
      </c>
      <c r="M37" s="273">
        <v>126641059.7</v>
      </c>
      <c r="N37" s="273">
        <v>134132062.9</v>
      </c>
      <c r="O37" s="273">
        <v>147281230.5</v>
      </c>
      <c r="P37" s="273"/>
      <c r="Q37" s="273">
        <v>3343528700</v>
      </c>
      <c r="R37" s="273">
        <v>159263029.5</v>
      </c>
      <c r="S37" s="142">
        <f>(R37/Q37)*100</f>
        <v>4.763321741488267</v>
      </c>
    </row>
    <row r="38" spans="1:19" ht="24.75" customHeight="1">
      <c r="A38" s="84"/>
      <c r="B38" s="84"/>
      <c r="C38" s="84" t="s">
        <v>81</v>
      </c>
      <c r="D38" s="84"/>
      <c r="E38" s="84"/>
      <c r="F38" s="272">
        <v>40905247</v>
      </c>
      <c r="G38" s="272">
        <v>45081610.3</v>
      </c>
      <c r="H38" s="272">
        <v>50067788.7</v>
      </c>
      <c r="I38" s="272">
        <v>55409176.8</v>
      </c>
      <c r="J38" s="272">
        <v>61520163.1</v>
      </c>
      <c r="K38" s="272">
        <v>68141031.9</v>
      </c>
      <c r="L38" s="272">
        <v>73274687.4</v>
      </c>
      <c r="M38" s="272">
        <v>82801489.4</v>
      </c>
      <c r="N38" s="272">
        <v>91246313.3</v>
      </c>
      <c r="O38" s="272">
        <v>101743816.4</v>
      </c>
      <c r="P38" s="272"/>
      <c r="Q38" s="272">
        <v>2461564000</v>
      </c>
      <c r="R38" s="272">
        <v>109854952.2</v>
      </c>
      <c r="S38" s="143">
        <f>(R38/Q38)*100</f>
        <v>4.462811131459511</v>
      </c>
    </row>
    <row r="39" spans="1:19" s="4" customFormat="1" ht="24.75" customHeight="1">
      <c r="A39" s="85"/>
      <c r="B39" s="85"/>
      <c r="C39" s="85" t="s">
        <v>82</v>
      </c>
      <c r="D39" s="85"/>
      <c r="E39" s="85"/>
      <c r="F39" s="273">
        <v>2458262.6</v>
      </c>
      <c r="G39" s="273">
        <v>3490492.7</v>
      </c>
      <c r="H39" s="273">
        <v>5381522.7</v>
      </c>
      <c r="I39" s="273">
        <v>5389060.8</v>
      </c>
      <c r="J39" s="273">
        <v>4447195.7</v>
      </c>
      <c r="K39" s="273">
        <v>9547033.9</v>
      </c>
      <c r="L39" s="273">
        <v>8908206</v>
      </c>
      <c r="M39" s="273">
        <v>8740243.5</v>
      </c>
      <c r="N39" s="273">
        <v>10789955.5</v>
      </c>
      <c r="O39" s="273">
        <v>15543096</v>
      </c>
      <c r="P39" s="273"/>
      <c r="Q39" s="273" t="s">
        <v>55</v>
      </c>
      <c r="R39" s="273">
        <v>17272997.5</v>
      </c>
      <c r="S39" s="142" t="s">
        <v>55</v>
      </c>
    </row>
    <row r="40" spans="1:19" s="4" customFormat="1" ht="24.75" customHeight="1">
      <c r="A40" s="84"/>
      <c r="B40" s="84"/>
      <c r="C40" s="84" t="s">
        <v>396</v>
      </c>
      <c r="D40" s="84"/>
      <c r="E40" s="84"/>
      <c r="F40" s="272">
        <v>7093850.8</v>
      </c>
      <c r="G40" s="272">
        <v>6038791.3</v>
      </c>
      <c r="H40" s="272">
        <v>8270560.7</v>
      </c>
      <c r="I40" s="272">
        <v>10779682.1</v>
      </c>
      <c r="J40" s="272">
        <v>15194668.3</v>
      </c>
      <c r="K40" s="272">
        <v>27777181.8</v>
      </c>
      <c r="L40" s="272">
        <v>25542443.5</v>
      </c>
      <c r="M40" s="272">
        <v>35099326.8</v>
      </c>
      <c r="N40" s="272">
        <v>32095794.1</v>
      </c>
      <c r="O40" s="272">
        <v>29994318.1</v>
      </c>
      <c r="P40" s="272"/>
      <c r="Q40" s="272">
        <v>881964700</v>
      </c>
      <c r="R40" s="272">
        <v>32135079.8</v>
      </c>
      <c r="S40" s="143">
        <f>(R40/Q40)*100</f>
        <v>3.643578909677451</v>
      </c>
    </row>
    <row r="41" spans="1:19" s="4" customFormat="1" ht="24.75" customHeight="1">
      <c r="A41" s="84"/>
      <c r="B41" s="84" t="s">
        <v>592</v>
      </c>
      <c r="C41" s="82"/>
      <c r="D41" s="82"/>
      <c r="E41" s="8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82"/>
    </row>
    <row r="42" spans="1:19" s="4" customFormat="1" ht="24.75" customHeight="1">
      <c r="A42" s="85"/>
      <c r="B42" s="70" t="s">
        <v>31</v>
      </c>
      <c r="C42" s="91"/>
      <c r="D42" s="91"/>
      <c r="E42" s="85"/>
      <c r="F42" s="273">
        <f aca="true" t="shared" si="1" ref="F42:M42">F43+F44+F45</f>
        <v>13990343.600000001</v>
      </c>
      <c r="G42" s="273">
        <f t="shared" si="1"/>
        <v>20862873.8</v>
      </c>
      <c r="H42" s="273">
        <f t="shared" si="1"/>
        <v>21722698.1</v>
      </c>
      <c r="I42" s="273">
        <f t="shared" si="1"/>
        <v>29015922.5</v>
      </c>
      <c r="J42" s="273">
        <f t="shared" si="1"/>
        <v>27787946</v>
      </c>
      <c r="K42" s="273">
        <f t="shared" si="1"/>
        <v>33026632.5</v>
      </c>
      <c r="L42" s="273">
        <f t="shared" si="1"/>
        <v>33401453.500000004</v>
      </c>
      <c r="M42" s="273">
        <f t="shared" si="1"/>
        <v>36432440.1</v>
      </c>
      <c r="N42" s="273">
        <v>41567631.5</v>
      </c>
      <c r="O42" s="273">
        <v>43145141.1</v>
      </c>
      <c r="P42" s="273"/>
      <c r="Q42" s="273">
        <f>SUM(Q43:Q45)</f>
        <v>818569300</v>
      </c>
      <c r="R42" s="273">
        <v>44949173.5</v>
      </c>
      <c r="S42" s="142">
        <f>(R42/Q42)*100</f>
        <v>5.491187306926855</v>
      </c>
    </row>
    <row r="43" spans="1:19" s="4" customFormat="1" ht="24.75" customHeight="1">
      <c r="A43" s="84"/>
      <c r="B43" s="84"/>
      <c r="C43" s="84" t="s">
        <v>449</v>
      </c>
      <c r="D43" s="84"/>
      <c r="E43" s="84"/>
      <c r="F43" s="272">
        <v>10863204.8</v>
      </c>
      <c r="G43" s="272">
        <v>11777968.8</v>
      </c>
      <c r="H43" s="272">
        <v>12606829.5</v>
      </c>
      <c r="I43" s="272">
        <v>15735057.5</v>
      </c>
      <c r="J43" s="272">
        <v>15751432.9</v>
      </c>
      <c r="K43" s="272">
        <v>20227879.4</v>
      </c>
      <c r="L43" s="272">
        <v>20503915.3</v>
      </c>
      <c r="M43" s="272">
        <v>21772054.9</v>
      </c>
      <c r="N43" s="272">
        <v>24628974.9</v>
      </c>
      <c r="O43" s="272">
        <v>25591017.1</v>
      </c>
      <c r="P43" s="272"/>
      <c r="Q43" s="272">
        <v>532455500</v>
      </c>
      <c r="R43" s="272">
        <v>27814900.8</v>
      </c>
      <c r="S43" s="143">
        <f>(R43/Q43)*100</f>
        <v>5.223892099903185</v>
      </c>
    </row>
    <row r="44" spans="1:19" s="4" customFormat="1" ht="24.75" customHeight="1">
      <c r="A44" s="85"/>
      <c r="B44" s="85"/>
      <c r="C44" s="85" t="s">
        <v>448</v>
      </c>
      <c r="D44" s="85"/>
      <c r="E44" s="85"/>
      <c r="F44" s="273">
        <v>3127138.8</v>
      </c>
      <c r="G44" s="273">
        <f>3099223.3+3235110.5</f>
        <v>6334333.8</v>
      </c>
      <c r="H44" s="273">
        <v>6657965.1</v>
      </c>
      <c r="I44" s="273">
        <f>4040286.4+4061255.1</f>
        <v>8101541.5</v>
      </c>
      <c r="J44" s="273">
        <f>3829936+2627708.6</f>
        <v>6457644.6</v>
      </c>
      <c r="K44" s="273">
        <f>3781397.9+2483987.8</f>
        <v>6265385.699999999</v>
      </c>
      <c r="L44" s="273">
        <f>3267598+2721210.9</f>
        <v>5988808.9</v>
      </c>
      <c r="M44" s="273">
        <f>3206461.1+2741163</f>
        <v>5947624.1</v>
      </c>
      <c r="N44" s="273">
        <f>3185646.6+2601262.6</f>
        <v>5786909.2</v>
      </c>
      <c r="O44" s="273">
        <f>3562978.6+2911991.7</f>
        <v>6474970.300000001</v>
      </c>
      <c r="P44" s="273"/>
      <c r="Q44" s="273">
        <v>270298500</v>
      </c>
      <c r="R44" s="273">
        <v>5213357.2</v>
      </c>
      <c r="S44" s="142">
        <f>(R44/Q44)*100</f>
        <v>1.9287407070331504</v>
      </c>
    </row>
    <row r="45" spans="1:19" s="4" customFormat="1" ht="24.75" customHeight="1">
      <c r="A45" s="84"/>
      <c r="B45" s="84"/>
      <c r="C45" s="84" t="s">
        <v>441</v>
      </c>
      <c r="D45" s="84"/>
      <c r="E45" s="84"/>
      <c r="F45" s="272">
        <v>0</v>
      </c>
      <c r="G45" s="272">
        <v>2750571.2</v>
      </c>
      <c r="H45" s="272">
        <v>2457903.5</v>
      </c>
      <c r="I45" s="272">
        <v>5179323.5</v>
      </c>
      <c r="J45" s="272">
        <v>5578868.5</v>
      </c>
      <c r="K45" s="272">
        <v>6533367.4</v>
      </c>
      <c r="L45" s="272">
        <v>6908729.3</v>
      </c>
      <c r="M45" s="272">
        <v>8712761.1</v>
      </c>
      <c r="N45" s="272">
        <v>11151747.4</v>
      </c>
      <c r="O45" s="272">
        <v>11079153.7</v>
      </c>
      <c r="P45" s="272"/>
      <c r="Q45" s="272">
        <v>15815300</v>
      </c>
      <c r="R45" s="272">
        <v>11920915.5</v>
      </c>
      <c r="S45" s="143">
        <f>(R45/Q45)*100</f>
        <v>75.37584174818056</v>
      </c>
    </row>
    <row r="46" spans="1:19" s="4" customFormat="1" ht="24.75" customHeight="1">
      <c r="A46" s="84"/>
      <c r="B46" s="84" t="s">
        <v>85</v>
      </c>
      <c r="C46" s="82"/>
      <c r="D46" s="82"/>
      <c r="E46" s="84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143"/>
    </row>
    <row r="47" spans="1:19" s="4" customFormat="1" ht="24.75" customHeight="1">
      <c r="A47" s="85"/>
      <c r="B47" s="85" t="s">
        <v>31</v>
      </c>
      <c r="C47" s="91"/>
      <c r="D47" s="91"/>
      <c r="E47" s="85"/>
      <c r="F47" s="273">
        <v>31878037.1</v>
      </c>
      <c r="G47" s="273">
        <v>29874691.5</v>
      </c>
      <c r="H47" s="273">
        <v>29886118.1</v>
      </c>
      <c r="I47" s="273">
        <v>29480265.9</v>
      </c>
      <c r="J47" s="273">
        <v>29107890.1</v>
      </c>
      <c r="K47" s="273">
        <v>28867006.5</v>
      </c>
      <c r="L47" s="273">
        <v>28810686.7</v>
      </c>
      <c r="M47" s="273">
        <v>28697143.4</v>
      </c>
      <c r="N47" s="273">
        <v>28271486.3</v>
      </c>
      <c r="O47" s="273">
        <v>32725734</v>
      </c>
      <c r="P47" s="273"/>
      <c r="Q47" s="273">
        <v>6166829500</v>
      </c>
      <c r="R47" s="273">
        <v>32600252.5</v>
      </c>
      <c r="S47" s="142">
        <f>(R47/Q47)*100</f>
        <v>0.5286387843218302</v>
      </c>
    </row>
    <row r="48" spans="1:19" s="4" customFormat="1" ht="24.75" customHeight="1">
      <c r="A48" s="84"/>
      <c r="B48" s="84" t="s">
        <v>450</v>
      </c>
      <c r="C48" s="82"/>
      <c r="D48" s="82"/>
      <c r="E48" s="84"/>
      <c r="F48" s="268"/>
      <c r="G48" s="268"/>
      <c r="H48" s="268"/>
      <c r="I48" s="268"/>
      <c r="J48" s="268"/>
      <c r="K48" s="268"/>
      <c r="L48" s="268"/>
      <c r="M48" s="268"/>
      <c r="N48" s="274"/>
      <c r="O48" s="274"/>
      <c r="P48" s="268"/>
      <c r="Q48" s="268"/>
      <c r="R48" s="274"/>
      <c r="S48" s="143"/>
    </row>
    <row r="49" spans="1:22" s="4" customFormat="1" ht="24.75" customHeight="1">
      <c r="A49" s="84"/>
      <c r="B49" s="84" t="s">
        <v>31</v>
      </c>
      <c r="C49" s="82"/>
      <c r="D49" s="82"/>
      <c r="E49" s="84"/>
      <c r="F49" s="268">
        <v>16491072.685</v>
      </c>
      <c r="G49" s="268">
        <v>19190063.499</v>
      </c>
      <c r="H49" s="268">
        <v>21346529.419769987</v>
      </c>
      <c r="I49" s="268">
        <v>24718048.293860003</v>
      </c>
      <c r="J49" s="268">
        <v>28617984.223020002</v>
      </c>
      <c r="K49" s="268">
        <v>34617230.799</v>
      </c>
      <c r="L49" s="268">
        <v>36348909.453839995</v>
      </c>
      <c r="M49" s="268">
        <f>39514236843.26/1000</f>
        <v>39514236.843260005</v>
      </c>
      <c r="N49" s="268">
        <f>44302081206.415/1000</f>
        <v>44302081.206415</v>
      </c>
      <c r="O49" s="268">
        <v>49611505.69999999</v>
      </c>
      <c r="P49" s="268"/>
      <c r="Q49" s="268">
        <v>1009051661.007</v>
      </c>
      <c r="R49" s="268">
        <v>44591401.99</v>
      </c>
      <c r="S49" s="143">
        <f>(R49/Q49)*100</f>
        <v>4.419139644990948</v>
      </c>
      <c r="U49" s="335" t="s">
        <v>517</v>
      </c>
      <c r="V49" s="335"/>
    </row>
    <row r="50" spans="1:19" s="10" customFormat="1" ht="24.75" customHeight="1">
      <c r="A50" s="84"/>
      <c r="B50" s="84" t="s">
        <v>451</v>
      </c>
      <c r="C50" s="84"/>
      <c r="D50" s="84"/>
      <c r="E50" s="84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143"/>
    </row>
    <row r="51" spans="1:19" s="10" customFormat="1" ht="24.75" customHeight="1">
      <c r="A51" s="85"/>
      <c r="B51" s="85" t="s">
        <v>31</v>
      </c>
      <c r="C51" s="85"/>
      <c r="D51" s="85"/>
      <c r="E51" s="85"/>
      <c r="F51" s="267">
        <v>16620878.864</v>
      </c>
      <c r="G51" s="267">
        <v>19513022.802</v>
      </c>
      <c r="H51" s="267">
        <v>21851068.940987002</v>
      </c>
      <c r="I51" s="267">
        <v>23455782.284280006</v>
      </c>
      <c r="J51" s="267">
        <v>28617984.223020002</v>
      </c>
      <c r="K51" s="267">
        <v>34617230.799</v>
      </c>
      <c r="L51" s="273">
        <v>35588825.723239996</v>
      </c>
      <c r="M51" s="273">
        <f>37198948948.24/1000</f>
        <v>37198948.94824</v>
      </c>
      <c r="N51" s="267">
        <f>43289684078.847/1000</f>
        <v>43289684.078847</v>
      </c>
      <c r="O51" s="267">
        <v>64059985.40000001</v>
      </c>
      <c r="P51" s="267"/>
      <c r="Q51" s="267">
        <v>1009051661.007</v>
      </c>
      <c r="R51" s="267">
        <v>43898473.94</v>
      </c>
      <c r="S51" s="142">
        <f>(R51/Q51)*100</f>
        <v>4.3504684285629915</v>
      </c>
    </row>
    <row r="52" spans="1:19" s="4" customFormat="1" ht="24.75" customHeight="1">
      <c r="A52" s="122" t="s">
        <v>86</v>
      </c>
      <c r="B52" s="122"/>
      <c r="C52" s="84"/>
      <c r="D52" s="84"/>
      <c r="E52" s="84"/>
      <c r="F52" s="268"/>
      <c r="G52" s="268"/>
      <c r="H52" s="268"/>
      <c r="I52" s="268"/>
      <c r="J52" s="268"/>
      <c r="K52" s="268"/>
      <c r="L52" s="268"/>
      <c r="M52" s="268"/>
      <c r="N52" s="274"/>
      <c r="O52" s="274"/>
      <c r="P52" s="268"/>
      <c r="Q52" s="268"/>
      <c r="R52" s="274"/>
      <c r="S52" s="150"/>
    </row>
    <row r="53" spans="1:19" ht="24.75" customHeight="1">
      <c r="A53" s="74"/>
      <c r="B53" s="74" t="s">
        <v>87</v>
      </c>
      <c r="C53" s="74"/>
      <c r="D53" s="74"/>
      <c r="E53" s="74"/>
      <c r="F53" s="275"/>
      <c r="G53" s="276"/>
      <c r="H53" s="276"/>
      <c r="I53" s="276"/>
      <c r="J53" s="276"/>
      <c r="K53" s="275"/>
      <c r="L53" s="275"/>
      <c r="M53" s="275"/>
      <c r="N53" s="271"/>
      <c r="O53" s="271"/>
      <c r="P53" s="275"/>
      <c r="Q53" s="275"/>
      <c r="R53" s="271"/>
      <c r="S53" s="151"/>
    </row>
    <row r="54" spans="1:19" ht="24.75" customHeight="1">
      <c r="A54" s="74"/>
      <c r="B54" s="74" t="s">
        <v>32</v>
      </c>
      <c r="C54" s="74"/>
      <c r="D54" s="74"/>
      <c r="E54" s="74"/>
      <c r="F54" s="275"/>
      <c r="G54" s="276"/>
      <c r="H54" s="276"/>
      <c r="I54" s="276"/>
      <c r="J54" s="276"/>
      <c r="K54" s="275"/>
      <c r="L54" s="275"/>
      <c r="M54" s="275"/>
      <c r="N54" s="271"/>
      <c r="O54" s="271"/>
      <c r="P54" s="275"/>
      <c r="Q54" s="275"/>
      <c r="R54" s="271"/>
      <c r="S54" s="151"/>
    </row>
    <row r="55" spans="1:19" s="4" customFormat="1" ht="24.75" customHeight="1">
      <c r="A55" s="84"/>
      <c r="B55" s="84"/>
      <c r="C55" s="84" t="s">
        <v>88</v>
      </c>
      <c r="D55" s="84"/>
      <c r="E55" s="84"/>
      <c r="F55" s="272">
        <v>2722</v>
      </c>
      <c r="G55" s="272">
        <v>2694</v>
      </c>
      <c r="H55" s="272">
        <v>3158</v>
      </c>
      <c r="I55" s="277">
        <v>3396</v>
      </c>
      <c r="J55" s="277">
        <v>3476</v>
      </c>
      <c r="K55" s="272">
        <v>8092</v>
      </c>
      <c r="L55" s="272">
        <v>6602.582932</v>
      </c>
      <c r="M55" s="272">
        <v>8181.264576</v>
      </c>
      <c r="N55" s="272">
        <v>8683</v>
      </c>
      <c r="O55" s="272">
        <v>6990</v>
      </c>
      <c r="P55" s="272"/>
      <c r="Q55" s="272">
        <v>380188.6</v>
      </c>
      <c r="R55" s="272">
        <v>7604</v>
      </c>
      <c r="S55" s="143">
        <f>(R55/Q55)*100</f>
        <v>2.0000599702358253</v>
      </c>
    </row>
    <row r="56" spans="1:19" s="45" customFormat="1" ht="24.75" customHeight="1">
      <c r="A56" s="141"/>
      <c r="B56" s="141"/>
      <c r="C56" s="141" t="s">
        <v>89</v>
      </c>
      <c r="D56" s="141"/>
      <c r="E56" s="141"/>
      <c r="F56" s="273">
        <v>6154</v>
      </c>
      <c r="G56" s="273">
        <v>6153</v>
      </c>
      <c r="H56" s="273">
        <v>6903</v>
      </c>
      <c r="I56" s="278">
        <v>7447</v>
      </c>
      <c r="J56" s="278">
        <v>7380</v>
      </c>
      <c r="K56" s="273">
        <v>17679</v>
      </c>
      <c r="L56" s="273">
        <v>12556.47789</v>
      </c>
      <c r="M56" s="273">
        <v>15796.436661</v>
      </c>
      <c r="N56" s="273">
        <v>17768</v>
      </c>
      <c r="O56" s="273">
        <v>13454</v>
      </c>
      <c r="P56" s="273"/>
      <c r="Q56" s="273">
        <v>381210.2</v>
      </c>
      <c r="R56" s="273">
        <v>15248</v>
      </c>
      <c r="S56" s="142">
        <f>(R56/Q56)*100</f>
        <v>3.9998929724335808</v>
      </c>
    </row>
    <row r="57" spans="1:19" s="4" customFormat="1" ht="24.75" customHeight="1">
      <c r="A57" s="84"/>
      <c r="B57" s="84"/>
      <c r="C57" s="84" t="s">
        <v>90</v>
      </c>
      <c r="D57" s="84"/>
      <c r="E57" s="84"/>
      <c r="F57" s="272">
        <v>-3432</v>
      </c>
      <c r="G57" s="272">
        <v>-3459</v>
      </c>
      <c r="H57" s="272">
        <v>-3745</v>
      </c>
      <c r="I57" s="277">
        <v>-4051</v>
      </c>
      <c r="J57" s="277">
        <v>-3904</v>
      </c>
      <c r="K57" s="272">
        <v>-9587</v>
      </c>
      <c r="L57" s="272">
        <v>-5953.894958</v>
      </c>
      <c r="M57" s="272">
        <v>-7615.172085</v>
      </c>
      <c r="N57" s="272">
        <f>N55-N56</f>
        <v>-9085</v>
      </c>
      <c r="O57" s="272">
        <v>-6464</v>
      </c>
      <c r="P57" s="272"/>
      <c r="Q57" s="272">
        <v>-1021.6</v>
      </c>
      <c r="R57" s="272">
        <v>-7645</v>
      </c>
      <c r="S57" s="143" t="s">
        <v>55</v>
      </c>
    </row>
    <row r="58" spans="1:19" s="4" customFormat="1" ht="24.75" customHeight="1">
      <c r="A58" s="122" t="s">
        <v>681</v>
      </c>
      <c r="B58" s="122"/>
      <c r="C58" s="79"/>
      <c r="D58" s="79"/>
      <c r="E58" s="79"/>
      <c r="F58" s="272"/>
      <c r="G58" s="272"/>
      <c r="H58" s="272"/>
      <c r="I58" s="272"/>
      <c r="J58" s="272"/>
      <c r="K58" s="272"/>
      <c r="L58" s="272"/>
      <c r="M58" s="272"/>
      <c r="N58" s="274"/>
      <c r="O58" s="274"/>
      <c r="P58" s="272"/>
      <c r="Q58" s="272"/>
      <c r="R58" s="274"/>
      <c r="S58" s="150"/>
    </row>
    <row r="59" spans="1:19" s="4" customFormat="1" ht="24.75" customHeight="1">
      <c r="A59" s="84"/>
      <c r="B59" s="84" t="s">
        <v>91</v>
      </c>
      <c r="C59" s="75"/>
      <c r="D59" s="75"/>
      <c r="E59" s="75"/>
      <c r="F59" s="272"/>
      <c r="G59" s="272"/>
      <c r="H59" s="272"/>
      <c r="I59" s="272"/>
      <c r="J59" s="272"/>
      <c r="K59" s="268"/>
      <c r="L59" s="272"/>
      <c r="M59" s="272"/>
      <c r="N59" s="274"/>
      <c r="O59" s="274"/>
      <c r="P59" s="268"/>
      <c r="Q59" s="268"/>
      <c r="R59" s="274"/>
      <c r="S59" s="143"/>
    </row>
    <row r="60" spans="1:19" s="4" customFormat="1" ht="24.75" customHeight="1">
      <c r="A60" s="85"/>
      <c r="B60" s="85" t="s">
        <v>373</v>
      </c>
      <c r="C60" s="70"/>
      <c r="D60" s="70"/>
      <c r="E60" s="70"/>
      <c r="F60" s="273">
        <v>897022.6</v>
      </c>
      <c r="G60" s="273">
        <v>905740</v>
      </c>
      <c r="H60" s="273">
        <v>821352.66</v>
      </c>
      <c r="I60" s="273">
        <v>892171.52</v>
      </c>
      <c r="J60" s="273">
        <v>887550.3200000001</v>
      </c>
      <c r="K60" s="267">
        <v>884099.6999999998</v>
      </c>
      <c r="L60" s="273">
        <v>846635.19</v>
      </c>
      <c r="M60" s="273">
        <v>882254</v>
      </c>
      <c r="N60" s="273">
        <v>632313.15</v>
      </c>
      <c r="O60" s="273">
        <v>842966.5</v>
      </c>
      <c r="P60" s="267"/>
      <c r="Q60" s="273">
        <v>20710981.57</v>
      </c>
      <c r="R60" s="273">
        <v>841527.76</v>
      </c>
      <c r="S60" s="142">
        <f>(R60/Q60)*100</f>
        <v>4.063195928960503</v>
      </c>
    </row>
    <row r="61" spans="1:19" s="4" customFormat="1" ht="24.75" customHeight="1">
      <c r="A61" s="84"/>
      <c r="B61" s="84" t="s">
        <v>92</v>
      </c>
      <c r="C61" s="75"/>
      <c r="D61" s="75"/>
      <c r="E61" s="75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143"/>
    </row>
    <row r="62" spans="1:19" s="4" customFormat="1" ht="24.75" customHeight="1">
      <c r="A62" s="84"/>
      <c r="B62" s="84" t="s">
        <v>373</v>
      </c>
      <c r="C62" s="75"/>
      <c r="D62" s="75"/>
      <c r="E62" s="75"/>
      <c r="F62" s="272">
        <v>572974.4</v>
      </c>
      <c r="G62" s="272">
        <v>589734.5</v>
      </c>
      <c r="H62" s="272">
        <v>484941.86</v>
      </c>
      <c r="I62" s="272">
        <v>573679.32</v>
      </c>
      <c r="J62" s="272">
        <v>574182.8</v>
      </c>
      <c r="K62" s="272">
        <v>557750.7</v>
      </c>
      <c r="L62" s="272">
        <v>540203.86</v>
      </c>
      <c r="M62" s="272">
        <v>566620</v>
      </c>
      <c r="N62" s="272">
        <v>305387.7</v>
      </c>
      <c r="O62" s="272">
        <v>541444</v>
      </c>
      <c r="P62" s="272"/>
      <c r="Q62" s="272">
        <v>7095629.69</v>
      </c>
      <c r="R62" s="272">
        <v>523973.68</v>
      </c>
      <c r="S62" s="143">
        <f>(R62/Q62)*100</f>
        <v>7.384456389239783</v>
      </c>
    </row>
    <row r="63" spans="1:19" s="4" customFormat="1" ht="24.75" customHeight="1">
      <c r="A63" s="84"/>
      <c r="B63" s="84" t="s">
        <v>573</v>
      </c>
      <c r="C63" s="75"/>
      <c r="D63" s="75"/>
      <c r="E63" s="75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143"/>
    </row>
    <row r="64" spans="1:23" s="4" customFormat="1" ht="24.75" customHeight="1">
      <c r="A64" s="85"/>
      <c r="B64" s="85" t="s">
        <v>374</v>
      </c>
      <c r="C64" s="70"/>
      <c r="D64" s="70"/>
      <c r="E64" s="70"/>
      <c r="F64" s="273">
        <v>9062896.9</v>
      </c>
      <c r="G64" s="273">
        <v>9503571.9</v>
      </c>
      <c r="H64" s="273">
        <v>8757077.858059</v>
      </c>
      <c r="I64" s="273">
        <v>8862610.03</v>
      </c>
      <c r="J64" s="273">
        <v>8982650.464999998</v>
      </c>
      <c r="K64" s="273">
        <v>8455814.971000006</v>
      </c>
      <c r="L64" s="273">
        <v>9154417.758459998</v>
      </c>
      <c r="M64" s="273">
        <v>9532506</v>
      </c>
      <c r="N64" s="273">
        <v>8688097</v>
      </c>
      <c r="O64" s="273">
        <v>8284617.2</v>
      </c>
      <c r="P64" s="273"/>
      <c r="Q64" s="273">
        <v>649198908.13</v>
      </c>
      <c r="R64" s="273">
        <v>8217793.05</v>
      </c>
      <c r="S64" s="142">
        <f>(R64/Q64)*100</f>
        <v>1.2658359321138004</v>
      </c>
      <c r="U64" s="4">
        <f>+O64/O60</f>
        <v>9.82793171496139</v>
      </c>
      <c r="V64" s="4">
        <f>+Q64/Q60</f>
        <v>31.345636899719377</v>
      </c>
      <c r="W64" s="4">
        <f>+R64/R60</f>
        <v>9.765326161076374</v>
      </c>
    </row>
    <row r="65" spans="1:22" ht="24.75" customHeight="1">
      <c r="A65" s="106" t="s">
        <v>25</v>
      </c>
      <c r="B65" s="74"/>
      <c r="C65" s="74"/>
      <c r="D65" s="74"/>
      <c r="E65" s="74"/>
      <c r="F65" s="82"/>
      <c r="G65" s="83"/>
      <c r="H65" s="83"/>
      <c r="I65" s="84"/>
      <c r="J65" s="84"/>
      <c r="K65" s="84"/>
      <c r="L65" s="84"/>
      <c r="M65" s="83"/>
      <c r="N65" s="83"/>
      <c r="O65" s="83"/>
      <c r="P65" s="83"/>
      <c r="Q65" s="83"/>
      <c r="R65" s="74"/>
      <c r="S65" s="154"/>
      <c r="U65" s="4"/>
      <c r="V65" s="4"/>
    </row>
    <row r="66" spans="1:19" ht="15">
      <c r="A66" s="21"/>
      <c r="F66" s="8"/>
      <c r="G66" s="9"/>
      <c r="H66" s="9"/>
      <c r="I66" s="10"/>
      <c r="J66" s="10"/>
      <c r="K66" s="10"/>
      <c r="L66" s="10"/>
      <c r="M66" s="9"/>
      <c r="N66" s="9"/>
      <c r="O66" s="9"/>
      <c r="P66" s="9"/>
      <c r="Q66" s="9"/>
      <c r="R66" s="9"/>
      <c r="S66" s="22"/>
    </row>
    <row r="67" spans="6:19" ht="15">
      <c r="F67" s="8"/>
      <c r="G67" s="9"/>
      <c r="H67" s="9"/>
      <c r="I67" s="10"/>
      <c r="J67" s="10"/>
      <c r="K67" s="10"/>
      <c r="L67" s="10"/>
      <c r="M67" s="9"/>
      <c r="N67" s="9"/>
      <c r="O67" s="9"/>
      <c r="P67" s="9"/>
      <c r="Q67" s="9"/>
      <c r="R67" s="9"/>
      <c r="S67" s="22"/>
    </row>
    <row r="68" spans="1:19" ht="18">
      <c r="A68" s="349"/>
      <c r="B68" s="349"/>
      <c r="C68" s="34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</row>
    <row r="69" spans="6:19" ht="15">
      <c r="F69" s="8"/>
      <c r="G69" s="9"/>
      <c r="H69" s="9"/>
      <c r="I69" s="10"/>
      <c r="J69" s="10"/>
      <c r="K69" s="10"/>
      <c r="L69" s="10"/>
      <c r="M69" s="9"/>
      <c r="N69" s="9"/>
      <c r="O69" s="9"/>
      <c r="P69" s="9"/>
      <c r="Q69" s="9"/>
      <c r="R69" s="9"/>
      <c r="S69" s="22"/>
    </row>
    <row r="70" spans="6:19" ht="15">
      <c r="F70" s="8"/>
      <c r="G70" s="9"/>
      <c r="H70" s="9"/>
      <c r="I70" s="10"/>
      <c r="J70" s="10"/>
      <c r="K70" s="10"/>
      <c r="L70" s="10"/>
      <c r="M70" s="9"/>
      <c r="N70" s="9"/>
      <c r="O70" s="9"/>
      <c r="P70" s="9"/>
      <c r="Q70" s="9"/>
      <c r="R70" s="9"/>
      <c r="S70" s="22"/>
    </row>
    <row r="71" spans="6:19" ht="15">
      <c r="F71" s="8"/>
      <c r="G71" s="9"/>
      <c r="H71" s="9"/>
      <c r="I71" s="10"/>
      <c r="J71" s="10"/>
      <c r="K71" s="10"/>
      <c r="L71" s="10"/>
      <c r="M71" s="9"/>
      <c r="N71" s="9"/>
      <c r="O71" s="9"/>
      <c r="P71" s="9"/>
      <c r="Q71" s="9"/>
      <c r="R71" s="9"/>
      <c r="S71" s="22"/>
    </row>
    <row r="72" spans="6:19" ht="15">
      <c r="F72" s="8"/>
      <c r="G72" s="9"/>
      <c r="H72" s="9"/>
      <c r="I72" s="10"/>
      <c r="J72" s="10"/>
      <c r="K72" s="10"/>
      <c r="L72" s="10"/>
      <c r="M72" s="9"/>
      <c r="N72" s="9"/>
      <c r="O72" s="9"/>
      <c r="P72" s="9"/>
      <c r="Q72" s="9"/>
      <c r="R72" s="9"/>
      <c r="S72" s="22"/>
    </row>
    <row r="73" spans="6:19" ht="15">
      <c r="F73" s="8"/>
      <c r="G73" s="9"/>
      <c r="H73" s="9"/>
      <c r="I73" s="10"/>
      <c r="J73" s="10"/>
      <c r="K73" s="10"/>
      <c r="L73" s="10"/>
      <c r="M73" s="9"/>
      <c r="N73" s="9"/>
      <c r="O73" s="9"/>
      <c r="P73" s="9"/>
      <c r="Q73" s="9"/>
      <c r="R73" s="9"/>
      <c r="S73" s="22"/>
    </row>
    <row r="74" spans="6:19" ht="15">
      <c r="F74" s="8"/>
      <c r="G74" s="9"/>
      <c r="H74" s="9"/>
      <c r="I74" s="10"/>
      <c r="J74" s="10"/>
      <c r="K74" s="10"/>
      <c r="L74" s="10"/>
      <c r="M74" s="9"/>
      <c r="N74" s="9"/>
      <c r="O74" s="9"/>
      <c r="P74" s="9"/>
      <c r="Q74" s="9"/>
      <c r="R74" s="9"/>
      <c r="S74" s="22"/>
    </row>
    <row r="75" spans="6:19" ht="15">
      <c r="F75" s="8"/>
      <c r="G75" s="9"/>
      <c r="H75" s="9"/>
      <c r="I75" s="10"/>
      <c r="J75" s="10"/>
      <c r="K75" s="10"/>
      <c r="L75" s="10"/>
      <c r="M75" s="9"/>
      <c r="N75" s="9"/>
      <c r="O75" s="9"/>
      <c r="P75" s="9"/>
      <c r="Q75" s="9"/>
      <c r="R75" s="9"/>
      <c r="S75" s="22"/>
    </row>
    <row r="76" spans="6:19" ht="15">
      <c r="F76" s="8"/>
      <c r="G76" s="9"/>
      <c r="H76" s="9"/>
      <c r="I76" s="10"/>
      <c r="J76" s="10"/>
      <c r="K76" s="10"/>
      <c r="L76" s="10"/>
      <c r="M76" s="9"/>
      <c r="N76" s="9"/>
      <c r="O76" s="9"/>
      <c r="P76" s="9"/>
      <c r="Q76" s="9"/>
      <c r="R76" s="9"/>
      <c r="S76" s="22"/>
    </row>
    <row r="77" spans="6:19" ht="15">
      <c r="F77" s="8"/>
      <c r="G77" s="9"/>
      <c r="H77" s="9"/>
      <c r="I77" s="10"/>
      <c r="J77" s="10"/>
      <c r="K77" s="10"/>
      <c r="L77" s="10"/>
      <c r="M77" s="9"/>
      <c r="N77" s="9"/>
      <c r="O77" s="9"/>
      <c r="P77" s="9"/>
      <c r="Q77" s="9"/>
      <c r="R77" s="9"/>
      <c r="S77" s="22"/>
    </row>
    <row r="78" spans="6:19" ht="15">
      <c r="F78" s="8"/>
      <c r="G78" s="9"/>
      <c r="H78" s="9"/>
      <c r="I78" s="10"/>
      <c r="J78" s="10"/>
      <c r="K78" s="10"/>
      <c r="L78" s="10"/>
      <c r="M78" s="9"/>
      <c r="N78" s="9"/>
      <c r="O78" s="9"/>
      <c r="P78" s="9"/>
      <c r="Q78" s="9"/>
      <c r="R78" s="9"/>
      <c r="S78" s="22"/>
    </row>
    <row r="79" spans="6:19" ht="15">
      <c r="F79" s="8"/>
      <c r="G79" s="9"/>
      <c r="H79" s="9"/>
      <c r="I79" s="10"/>
      <c r="J79" s="10"/>
      <c r="K79" s="10"/>
      <c r="L79" s="10"/>
      <c r="M79" s="9"/>
      <c r="N79" s="9"/>
      <c r="O79" s="9"/>
      <c r="P79" s="9"/>
      <c r="Q79" s="9"/>
      <c r="R79" s="9"/>
      <c r="S79" s="22"/>
    </row>
  </sheetData>
  <sheetProtection/>
  <mergeCells count="15">
    <mergeCell ref="R1:S1"/>
    <mergeCell ref="A4:E5"/>
    <mergeCell ref="Q4:S4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  <mergeCell ref="B20:E20"/>
    <mergeCell ref="C14:E14"/>
  </mergeCells>
  <printOptions horizontalCentered="1"/>
  <pageMargins left="0.1968503937007874" right="0.1968503937007874" top="0.5905511811023623" bottom="0.5905511811023623" header="0" footer="0"/>
  <pageSetup fitToHeight="0" horizontalDpi="600" verticalDpi="600" orientation="portrait" scale="42" r:id="rId2"/>
  <headerFooter alignWithMargins="0">
    <oddHeader>&amp;C
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theme="9" tint="-0.24997000396251678"/>
  </sheetPr>
  <dimension ref="A1:W70"/>
  <sheetViews>
    <sheetView showGridLines="0" view="pageBreakPreview" zoomScale="85" zoomScaleNormal="65" zoomScaleSheetLayoutView="85" zoomScalePageLayoutView="0" workbookViewId="0" topLeftCell="A1">
      <pane xSplit="5" ySplit="5" topLeftCell="F4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0" sqref="F60"/>
    </sheetView>
  </sheetViews>
  <sheetFormatPr defaultColWidth="9.77734375" defaultRowHeight="15.75"/>
  <cols>
    <col min="1" max="4" width="2.77734375" style="4" customWidth="1"/>
    <col min="5" max="5" width="21.5546875" style="4" customWidth="1"/>
    <col min="6" max="6" width="12.88671875" style="4" customWidth="1"/>
    <col min="7" max="7" width="13.77734375" style="9" customWidth="1"/>
    <col min="8" max="8" width="12.5546875" style="9" customWidth="1"/>
    <col min="9" max="9" width="12.77734375" style="10" customWidth="1"/>
    <col min="10" max="10" width="12.6640625" style="10" customWidth="1"/>
    <col min="11" max="11" width="12.99609375" style="10" customWidth="1"/>
    <col min="12" max="12" width="12.5546875" style="10" customWidth="1"/>
    <col min="13" max="13" width="13.3359375" style="10" customWidth="1"/>
    <col min="14" max="15" width="13.10546875" style="10" customWidth="1"/>
    <col min="16" max="16" width="1.77734375" style="10" customWidth="1"/>
    <col min="17" max="17" width="15.3359375" style="9" customWidth="1"/>
    <col min="18" max="18" width="13.77734375" style="9" customWidth="1"/>
    <col min="19" max="19" width="7.6640625" style="22" bestFit="1" customWidth="1"/>
    <col min="20" max="20" width="11.6640625" style="4" bestFit="1" customWidth="1"/>
    <col min="21" max="16384" width="9.77734375" style="4" customWidth="1"/>
  </cols>
  <sheetData>
    <row r="1" spans="1:19" s="13" customFormat="1" ht="24.75" customHeight="1">
      <c r="A1" s="129" t="s">
        <v>62</v>
      </c>
      <c r="B1" s="129"/>
      <c r="C1" s="129"/>
      <c r="D1" s="129"/>
      <c r="E1" s="129"/>
      <c r="F1" s="129"/>
      <c r="G1" s="129"/>
      <c r="H1" s="129"/>
      <c r="I1" s="129"/>
      <c r="J1" s="5"/>
      <c r="K1" s="5"/>
      <c r="L1" s="5"/>
      <c r="M1" s="5"/>
      <c r="N1" s="5"/>
      <c r="O1" s="5"/>
      <c r="P1" s="5"/>
      <c r="Q1" s="5"/>
      <c r="R1" s="469" t="s">
        <v>63</v>
      </c>
      <c r="S1" s="469"/>
    </row>
    <row r="2" spans="1:19" s="13" customFormat="1" ht="24.75" customHeight="1">
      <c r="A2" s="129" t="s">
        <v>512</v>
      </c>
      <c r="B2" s="130"/>
      <c r="C2" s="130"/>
      <c r="D2" s="130"/>
      <c r="E2" s="130"/>
      <c r="F2" s="130"/>
      <c r="G2" s="130"/>
      <c r="H2" s="130"/>
      <c r="I2" s="130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13" customFormat="1" ht="24.75" customHeight="1">
      <c r="A3" s="7"/>
      <c r="B3" s="4"/>
      <c r="C3" s="4"/>
      <c r="D3" s="4"/>
      <c r="E3" s="4"/>
      <c r="F3" s="8"/>
      <c r="G3" s="9"/>
      <c r="H3" s="9"/>
      <c r="I3" s="10"/>
      <c r="J3" s="10"/>
      <c r="K3" s="10"/>
      <c r="L3" s="10"/>
      <c r="M3" s="10"/>
      <c r="N3" s="10"/>
      <c r="O3" s="10"/>
      <c r="P3" s="10"/>
      <c r="Q3" s="9"/>
      <c r="R3" s="9"/>
      <c r="S3" s="4"/>
    </row>
    <row r="4" spans="1:19" s="13" customFormat="1" ht="24.75" customHeight="1">
      <c r="A4" s="470" t="s">
        <v>64</v>
      </c>
      <c r="B4" s="470"/>
      <c r="C4" s="470"/>
      <c r="D4" s="470"/>
      <c r="E4" s="470"/>
      <c r="F4" s="458">
        <v>2003</v>
      </c>
      <c r="G4" s="458">
        <v>2004</v>
      </c>
      <c r="H4" s="458">
        <v>2005</v>
      </c>
      <c r="I4" s="458">
        <v>2006</v>
      </c>
      <c r="J4" s="458">
        <v>2007</v>
      </c>
      <c r="K4" s="458">
        <v>2008</v>
      </c>
      <c r="L4" s="458">
        <v>2009</v>
      </c>
      <c r="M4" s="458">
        <v>2010</v>
      </c>
      <c r="N4" s="458">
        <v>2011</v>
      </c>
      <c r="O4" s="458">
        <v>2012</v>
      </c>
      <c r="P4" s="126"/>
      <c r="Q4" s="472" t="s">
        <v>499</v>
      </c>
      <c r="R4" s="472"/>
      <c r="S4" s="472"/>
    </row>
    <row r="5" spans="1:19" s="13" customFormat="1" ht="24.75" customHeight="1">
      <c r="A5" s="471"/>
      <c r="B5" s="471"/>
      <c r="C5" s="471"/>
      <c r="D5" s="471"/>
      <c r="E5" s="471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131"/>
      <c r="Q5" s="131" t="s">
        <v>65</v>
      </c>
      <c r="R5" s="131" t="s">
        <v>66</v>
      </c>
      <c r="S5" s="131" t="s">
        <v>19</v>
      </c>
    </row>
    <row r="6" spans="1:19" ht="24.75" customHeight="1">
      <c r="A6" s="84"/>
      <c r="B6" s="84" t="s">
        <v>372</v>
      </c>
      <c r="C6" s="84"/>
      <c r="D6" s="84"/>
      <c r="E6" s="84"/>
      <c r="F6" s="139"/>
      <c r="G6" s="139"/>
      <c r="H6" s="139"/>
      <c r="I6" s="139"/>
      <c r="J6" s="139"/>
      <c r="K6" s="139"/>
      <c r="L6" s="139"/>
      <c r="M6" s="139"/>
      <c r="N6" s="82"/>
      <c r="O6" s="82"/>
      <c r="P6" s="139"/>
      <c r="Q6" s="139"/>
      <c r="R6" s="139"/>
      <c r="S6" s="136"/>
    </row>
    <row r="7" spans="1:23" s="45" customFormat="1" ht="24.75" customHeight="1">
      <c r="A7" s="141"/>
      <c r="B7" s="141" t="s">
        <v>374</v>
      </c>
      <c r="C7" s="141"/>
      <c r="D7" s="141"/>
      <c r="E7" s="141"/>
      <c r="F7" s="279">
        <v>1923428.1</v>
      </c>
      <c r="G7" s="279">
        <v>2227699.54</v>
      </c>
      <c r="H7" s="279">
        <v>1311779.76</v>
      </c>
      <c r="I7" s="279">
        <v>1801330</v>
      </c>
      <c r="J7" s="279">
        <v>2002701.13</v>
      </c>
      <c r="K7" s="279">
        <v>1809476.3410000056</v>
      </c>
      <c r="L7" s="279">
        <v>1716201.08</v>
      </c>
      <c r="M7" s="279">
        <v>2039234.44</v>
      </c>
      <c r="N7" s="279">
        <v>666465</v>
      </c>
      <c r="O7" s="279">
        <v>2014158.1</v>
      </c>
      <c r="P7" s="279"/>
      <c r="Q7" s="279">
        <v>22663953.35</v>
      </c>
      <c r="R7" s="279">
        <v>2079273.31</v>
      </c>
      <c r="S7" s="142">
        <f>(R7/Q7)*100</f>
        <v>9.174362821391883</v>
      </c>
      <c r="U7" s="4">
        <f>+O7/'C2 (Pág. 12)'!O62</f>
        <v>3.7199749189205162</v>
      </c>
      <c r="V7" s="4">
        <f>+Q7/'C2 (Pág. 12)'!Q62</f>
        <v>3.194072174022937</v>
      </c>
      <c r="W7" s="4">
        <f>+R7/'C2 (Pág. 12)'!R62</f>
        <v>3.968278158551781</v>
      </c>
    </row>
    <row r="8" spans="1:19" ht="24.75" customHeight="1">
      <c r="A8" s="84"/>
      <c r="B8" s="84" t="s">
        <v>93</v>
      </c>
      <c r="C8" s="75"/>
      <c r="D8" s="75"/>
      <c r="E8" s="75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143"/>
    </row>
    <row r="9" spans="1:22" ht="24.75" customHeight="1">
      <c r="A9" s="84"/>
      <c r="B9" s="84" t="s">
        <v>31</v>
      </c>
      <c r="C9" s="75"/>
      <c r="D9" s="75"/>
      <c r="E9" s="75"/>
      <c r="F9" s="280">
        <v>13276686</v>
      </c>
      <c r="G9" s="280">
        <v>14041087.8</v>
      </c>
      <c r="H9" s="280">
        <v>13365493.34065537</v>
      </c>
      <c r="I9" s="280">
        <v>14916036.736337302</v>
      </c>
      <c r="J9" s="280">
        <v>16501294.411215002</v>
      </c>
      <c r="K9" s="280">
        <v>17994509.954155125</v>
      </c>
      <c r="L9" s="280">
        <v>19427320.829790004</v>
      </c>
      <c r="M9" s="280">
        <v>22300434.8537307</v>
      </c>
      <c r="N9" s="280">
        <v>17464069</v>
      </c>
      <c r="O9" s="280">
        <v>22235740.87</v>
      </c>
      <c r="P9" s="280"/>
      <c r="Q9" s="280">
        <v>395508061.14</v>
      </c>
      <c r="R9" s="280">
        <v>22925544.42</v>
      </c>
      <c r="S9" s="143">
        <f>(R9/Q9)*100</f>
        <v>5.796479685880518</v>
      </c>
      <c r="U9" s="4">
        <f>+O9/'C2 (Pág. 12)'!O60</f>
        <v>26.377965043687976</v>
      </c>
      <c r="V9" s="4">
        <f>+U9*1000</f>
        <v>26377.965043687975</v>
      </c>
    </row>
    <row r="10" spans="1:19" ht="24.75" customHeight="1">
      <c r="A10" s="84"/>
      <c r="B10" s="84" t="s">
        <v>94</v>
      </c>
      <c r="C10" s="75"/>
      <c r="D10" s="75"/>
      <c r="E10" s="75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143"/>
    </row>
    <row r="11" spans="1:22" s="45" customFormat="1" ht="24.75" customHeight="1">
      <c r="A11" s="141"/>
      <c r="B11" s="141" t="s">
        <v>31</v>
      </c>
      <c r="C11" s="141"/>
      <c r="D11" s="141"/>
      <c r="E11" s="140"/>
      <c r="F11" s="279">
        <v>2966489</v>
      </c>
      <c r="G11" s="279">
        <v>3632007</v>
      </c>
      <c r="H11" s="279">
        <v>2236050.607</v>
      </c>
      <c r="I11" s="279">
        <v>4369674.156764446</v>
      </c>
      <c r="J11" s="279">
        <v>5314980.707146911</v>
      </c>
      <c r="K11" s="279">
        <v>5569846.8918490345</v>
      </c>
      <c r="L11" s="279">
        <v>5663463.564</v>
      </c>
      <c r="M11" s="279">
        <v>7090085.9413600005</v>
      </c>
      <c r="N11" s="279">
        <v>3214122</v>
      </c>
      <c r="O11" s="279">
        <v>8853886.9</v>
      </c>
      <c r="P11" s="279"/>
      <c r="Q11" s="279">
        <v>76281605.08</v>
      </c>
      <c r="R11" s="279">
        <v>8597018.37</v>
      </c>
      <c r="S11" s="142">
        <f>(R11/Q11)*100</f>
        <v>11.27010681144414</v>
      </c>
      <c r="U11" s="45">
        <f>+Q11/Q7</f>
        <v>3.3657678297330236</v>
      </c>
      <c r="V11" s="45">
        <f>+U11*1000</f>
        <v>3365.7678297330235</v>
      </c>
    </row>
    <row r="12" spans="1:19" ht="24.75" customHeight="1">
      <c r="A12" s="155"/>
      <c r="B12" s="84" t="s">
        <v>138</v>
      </c>
      <c r="C12" s="82"/>
      <c r="D12" s="82"/>
      <c r="E12" s="149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143"/>
    </row>
    <row r="13" spans="1:19" ht="24.75" customHeight="1">
      <c r="A13" s="155"/>
      <c r="B13" s="84" t="s">
        <v>31</v>
      </c>
      <c r="C13" s="82"/>
      <c r="D13" s="82"/>
      <c r="E13" s="149"/>
      <c r="F13" s="280">
        <v>1194519</v>
      </c>
      <c r="G13" s="280">
        <v>1558331</v>
      </c>
      <c r="H13" s="280">
        <v>2046994.2056</v>
      </c>
      <c r="I13" s="280">
        <v>2292765.2</v>
      </c>
      <c r="J13" s="280">
        <v>2441334.8</v>
      </c>
      <c r="K13" s="280">
        <v>3014954.878970001</v>
      </c>
      <c r="L13" s="280">
        <v>3630292.25523</v>
      </c>
      <c r="M13" s="280">
        <v>4455894.207520001</v>
      </c>
      <c r="N13" s="280">
        <v>4052611.27</v>
      </c>
      <c r="O13" s="280">
        <v>5217831.37</v>
      </c>
      <c r="P13" s="280"/>
      <c r="Q13" s="280">
        <f>SUM(Q14:Q15)</f>
        <v>140866543.37</v>
      </c>
      <c r="R13" s="280">
        <v>7531175.86</v>
      </c>
      <c r="S13" s="143">
        <f>(R13/Q13)*100</f>
        <v>5.346319771770517</v>
      </c>
    </row>
    <row r="14" spans="1:19" s="45" customFormat="1" ht="24.75" customHeight="1">
      <c r="A14" s="156"/>
      <c r="B14" s="156"/>
      <c r="C14" s="141" t="s">
        <v>95</v>
      </c>
      <c r="D14" s="141"/>
      <c r="E14" s="141"/>
      <c r="F14" s="279">
        <v>605596</v>
      </c>
      <c r="G14" s="279">
        <v>984591</v>
      </c>
      <c r="H14" s="279">
        <v>1391898.767</v>
      </c>
      <c r="I14" s="279">
        <v>1747923</v>
      </c>
      <c r="J14" s="279">
        <v>2297077.9</v>
      </c>
      <c r="K14" s="279">
        <v>2887879.366609999</v>
      </c>
      <c r="L14" s="279">
        <v>3440108.20655</v>
      </c>
      <c r="M14" s="279">
        <v>4214133.65016</v>
      </c>
      <c r="N14" s="279">
        <v>3814735.48</v>
      </c>
      <c r="O14" s="279">
        <v>5039197.16</v>
      </c>
      <c r="P14" s="279"/>
      <c r="Q14" s="279">
        <v>125227630.6</v>
      </c>
      <c r="R14" s="279">
        <v>7246488.93</v>
      </c>
      <c r="S14" s="142">
        <f>(R14/Q14)*100</f>
        <v>5.786653388936674</v>
      </c>
    </row>
    <row r="15" spans="1:19" ht="24.75" customHeight="1">
      <c r="A15" s="84"/>
      <c r="B15" s="84"/>
      <c r="C15" s="84" t="s">
        <v>96</v>
      </c>
      <c r="D15" s="84"/>
      <c r="E15" s="84"/>
      <c r="F15" s="280">
        <v>588923</v>
      </c>
      <c r="G15" s="280">
        <v>573740</v>
      </c>
      <c r="H15" s="280">
        <v>655095.4386</v>
      </c>
      <c r="I15" s="280">
        <v>544842.2</v>
      </c>
      <c r="J15" s="280">
        <v>144256.9</v>
      </c>
      <c r="K15" s="280">
        <v>127075.51236</v>
      </c>
      <c r="L15" s="280">
        <v>190184.04868</v>
      </c>
      <c r="M15" s="280">
        <v>241760.55736</v>
      </c>
      <c r="N15" s="280">
        <v>237875.79</v>
      </c>
      <c r="O15" s="280">
        <v>178634.21</v>
      </c>
      <c r="P15" s="280"/>
      <c r="Q15" s="280">
        <v>15638912.77</v>
      </c>
      <c r="R15" s="280">
        <v>284686.93</v>
      </c>
      <c r="S15" s="143">
        <f>(R15/Q15)*100</f>
        <v>1.820375458235899</v>
      </c>
    </row>
    <row r="16" spans="1:19" ht="24.75" customHeight="1">
      <c r="A16" s="84"/>
      <c r="B16" s="84" t="s">
        <v>97</v>
      </c>
      <c r="C16" s="82"/>
      <c r="D16" s="82"/>
      <c r="E16" s="84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152"/>
    </row>
    <row r="17" spans="1:19" ht="24.75" customHeight="1">
      <c r="A17" s="84"/>
      <c r="B17" s="84"/>
      <c r="C17" s="84" t="s">
        <v>98</v>
      </c>
      <c r="D17" s="84"/>
      <c r="E17" s="84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143"/>
    </row>
    <row r="18" spans="1:19" ht="24.75" customHeight="1">
      <c r="A18" s="84"/>
      <c r="B18" s="84"/>
      <c r="C18" s="84" t="s">
        <v>373</v>
      </c>
      <c r="D18" s="84"/>
      <c r="E18" s="84"/>
      <c r="F18" s="280">
        <v>1092152</v>
      </c>
      <c r="G18" s="280">
        <v>1082063.6</v>
      </c>
      <c r="H18" s="280">
        <v>1087108</v>
      </c>
      <c r="I18" s="280">
        <v>1109332</v>
      </c>
      <c r="J18" s="280">
        <v>1110181</v>
      </c>
      <c r="K18" s="280">
        <v>1150748.23</v>
      </c>
      <c r="L18" s="280">
        <v>1149805.70824</v>
      </c>
      <c r="M18" s="280">
        <v>1160662</v>
      </c>
      <c r="N18" s="280">
        <v>1149649</v>
      </c>
      <c r="O18" s="280">
        <v>1153354</v>
      </c>
      <c r="P18" s="280"/>
      <c r="Q18" s="280" t="s">
        <v>54</v>
      </c>
      <c r="R18" s="280">
        <v>1151858</v>
      </c>
      <c r="S18" s="143" t="s">
        <v>55</v>
      </c>
    </row>
    <row r="19" spans="1:19" s="45" customFormat="1" ht="24.75" customHeight="1">
      <c r="A19" s="141"/>
      <c r="B19" s="141"/>
      <c r="C19" s="141" t="s">
        <v>99</v>
      </c>
      <c r="D19" s="141"/>
      <c r="E19" s="141"/>
      <c r="F19" s="119">
        <v>1220</v>
      </c>
      <c r="G19" s="119">
        <v>1224</v>
      </c>
      <c r="H19" s="119">
        <v>1222</v>
      </c>
      <c r="I19" s="119">
        <v>1222</v>
      </c>
      <c r="J19" s="119">
        <v>1229</v>
      </c>
      <c r="K19" s="119">
        <v>1228</v>
      </c>
      <c r="L19" s="119">
        <v>1229</v>
      </c>
      <c r="M19" s="119">
        <v>1235</v>
      </c>
      <c r="N19" s="119">
        <v>1232</v>
      </c>
      <c r="O19" s="119">
        <v>1234</v>
      </c>
      <c r="P19" s="142"/>
      <c r="Q19" s="142" t="s">
        <v>54</v>
      </c>
      <c r="R19" s="119">
        <v>1236</v>
      </c>
      <c r="S19" s="142" t="s">
        <v>55</v>
      </c>
    </row>
    <row r="20" spans="1:19" ht="24.75" customHeight="1">
      <c r="A20" s="84"/>
      <c r="B20" s="84"/>
      <c r="C20" s="84" t="s">
        <v>100</v>
      </c>
      <c r="D20" s="84"/>
      <c r="E20" s="84"/>
      <c r="F20" s="115">
        <v>360934</v>
      </c>
      <c r="G20" s="115">
        <v>374768</v>
      </c>
      <c r="H20" s="115">
        <v>367851</v>
      </c>
      <c r="I20" s="115">
        <v>407646</v>
      </c>
      <c r="J20" s="115">
        <v>407347</v>
      </c>
      <c r="K20" s="115">
        <v>411114</v>
      </c>
      <c r="L20" s="115">
        <v>411196</v>
      </c>
      <c r="M20" s="115">
        <v>413019</v>
      </c>
      <c r="N20" s="115">
        <v>413217</v>
      </c>
      <c r="O20" s="115">
        <v>354885</v>
      </c>
      <c r="P20" s="143"/>
      <c r="Q20" s="143" t="s">
        <v>54</v>
      </c>
      <c r="R20" s="115" t="s">
        <v>54</v>
      </c>
      <c r="S20" s="143" t="s">
        <v>55</v>
      </c>
    </row>
    <row r="21" spans="1:19" ht="24.75" customHeight="1">
      <c r="A21" s="122" t="s">
        <v>574</v>
      </c>
      <c r="B21" s="84"/>
      <c r="C21" s="84"/>
      <c r="D21" s="84"/>
      <c r="E21" s="84"/>
      <c r="F21" s="143"/>
      <c r="G21" s="143"/>
      <c r="H21" s="143"/>
      <c r="I21" s="143"/>
      <c r="J21" s="143"/>
      <c r="K21" s="143"/>
      <c r="L21" s="143"/>
      <c r="M21" s="143"/>
      <c r="N21" s="82"/>
      <c r="O21" s="82"/>
      <c r="P21" s="143"/>
      <c r="Q21" s="143"/>
      <c r="R21" s="82"/>
      <c r="S21" s="150"/>
    </row>
    <row r="22" spans="1:19" ht="24.75" customHeight="1">
      <c r="A22" s="84"/>
      <c r="B22" s="84" t="s">
        <v>567</v>
      </c>
      <c r="C22" s="82"/>
      <c r="D22" s="82"/>
      <c r="E22" s="84"/>
      <c r="F22" s="143"/>
      <c r="G22" s="143"/>
      <c r="H22" s="143"/>
      <c r="I22" s="143"/>
      <c r="J22" s="143"/>
      <c r="K22" s="143"/>
      <c r="L22" s="143"/>
      <c r="M22" s="143"/>
      <c r="N22" s="82"/>
      <c r="O22" s="82"/>
      <c r="P22" s="143"/>
      <c r="Q22" s="143"/>
      <c r="R22" s="82"/>
      <c r="S22" s="143"/>
    </row>
    <row r="23" spans="1:19" s="45" customFormat="1" ht="24.75" customHeight="1">
      <c r="A23" s="141"/>
      <c r="B23" s="141" t="s">
        <v>374</v>
      </c>
      <c r="C23" s="91"/>
      <c r="D23" s="91"/>
      <c r="E23" s="141"/>
      <c r="F23" s="279">
        <v>187312</v>
      </c>
      <c r="G23" s="279">
        <v>195435</v>
      </c>
      <c r="H23" s="279">
        <v>198313</v>
      </c>
      <c r="I23" s="279">
        <v>200658</v>
      </c>
      <c r="J23" s="279">
        <v>201514</v>
      </c>
      <c r="K23" s="279">
        <v>192890</v>
      </c>
      <c r="L23" s="279">
        <v>173748.71800000002</v>
      </c>
      <c r="M23" s="279">
        <v>171287</v>
      </c>
      <c r="N23" s="279">
        <v>173334</v>
      </c>
      <c r="O23" s="279">
        <v>176129</v>
      </c>
      <c r="P23" s="279"/>
      <c r="Q23" s="279">
        <v>6013374</v>
      </c>
      <c r="R23" s="279">
        <v>176637</v>
      </c>
      <c r="S23" s="142">
        <f>(R23/Q23)*100</f>
        <v>2.9374025297611626</v>
      </c>
    </row>
    <row r="24" spans="1:19" ht="24.75" customHeight="1">
      <c r="A24" s="84"/>
      <c r="B24" s="84" t="s">
        <v>566</v>
      </c>
      <c r="C24" s="82"/>
      <c r="D24" s="82"/>
      <c r="E24" s="84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143"/>
    </row>
    <row r="25" spans="1:19" ht="24.75" customHeight="1">
      <c r="A25" s="84"/>
      <c r="B25" s="84" t="s">
        <v>31</v>
      </c>
      <c r="C25" s="82"/>
      <c r="D25" s="82"/>
      <c r="E25" s="84"/>
      <c r="F25" s="280">
        <v>3729923</v>
      </c>
      <c r="G25" s="280">
        <v>4471021</v>
      </c>
      <c r="H25" s="280">
        <v>4654289</v>
      </c>
      <c r="I25" s="280">
        <v>4689202</v>
      </c>
      <c r="J25" s="280">
        <v>5476016</v>
      </c>
      <c r="K25" s="280">
        <v>4746037</v>
      </c>
      <c r="L25" s="280">
        <v>5117675.27135996</v>
      </c>
      <c r="M25" s="280">
        <v>5361502</v>
      </c>
      <c r="N25" s="280">
        <v>5623636</v>
      </c>
      <c r="O25" s="280">
        <v>5841290</v>
      </c>
      <c r="P25" s="280"/>
      <c r="Q25" s="280">
        <v>209416349</v>
      </c>
      <c r="R25" s="280">
        <v>6218735</v>
      </c>
      <c r="S25" s="143">
        <f>(R25/Q25)*100</f>
        <v>2.969555638657419</v>
      </c>
    </row>
    <row r="26" spans="1:19" ht="24.75" customHeight="1">
      <c r="A26" s="84"/>
      <c r="B26" s="84" t="s">
        <v>575</v>
      </c>
      <c r="C26" s="82"/>
      <c r="D26" s="82"/>
      <c r="E26" s="84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</row>
    <row r="27" spans="1:19" s="45" customFormat="1" ht="24.75" customHeight="1">
      <c r="A27" s="141"/>
      <c r="B27" s="141" t="s">
        <v>33</v>
      </c>
      <c r="C27" s="91"/>
      <c r="D27" s="91"/>
      <c r="E27" s="141"/>
      <c r="F27" s="119">
        <v>647</v>
      </c>
      <c r="G27" s="119">
        <v>633</v>
      </c>
      <c r="H27" s="119">
        <v>640</v>
      </c>
      <c r="I27" s="119">
        <v>653</v>
      </c>
      <c r="J27" s="119">
        <v>672</v>
      </c>
      <c r="K27" s="119">
        <v>673</v>
      </c>
      <c r="L27" s="119">
        <v>674</v>
      </c>
      <c r="M27" s="119">
        <v>675</v>
      </c>
      <c r="N27" s="119">
        <v>681</v>
      </c>
      <c r="O27" s="119">
        <v>653</v>
      </c>
      <c r="P27" s="119"/>
      <c r="Q27" s="142">
        <v>8796.391</v>
      </c>
      <c r="R27" s="119">
        <v>640</v>
      </c>
      <c r="S27" s="142">
        <f>(R27/Q27)*100</f>
        <v>7.275711141080472</v>
      </c>
    </row>
    <row r="28" spans="1:19" ht="24.75" customHeight="1">
      <c r="A28" s="122" t="s">
        <v>293</v>
      </c>
      <c r="B28" s="84"/>
      <c r="C28" s="84"/>
      <c r="D28" s="84"/>
      <c r="E28" s="84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</row>
    <row r="29" spans="1:19" ht="24.75" customHeight="1">
      <c r="A29" s="84"/>
      <c r="B29" s="84" t="s">
        <v>101</v>
      </c>
      <c r="C29" s="84"/>
      <c r="D29" s="84"/>
      <c r="E29" s="84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</row>
    <row r="30" spans="1:19" s="45" customFormat="1" ht="24.75" customHeight="1">
      <c r="A30" s="141"/>
      <c r="B30" s="141" t="s">
        <v>375</v>
      </c>
      <c r="C30" s="141"/>
      <c r="D30" s="141"/>
      <c r="E30" s="141"/>
      <c r="F30" s="279">
        <v>216677</v>
      </c>
      <c r="G30" s="279">
        <v>217781</v>
      </c>
      <c r="H30" s="279">
        <v>186368</v>
      </c>
      <c r="I30" s="279">
        <v>117450</v>
      </c>
      <c r="J30" s="279">
        <v>111271</v>
      </c>
      <c r="K30" s="279">
        <v>113107</v>
      </c>
      <c r="L30" s="279">
        <v>141399</v>
      </c>
      <c r="M30" s="279">
        <v>195833</v>
      </c>
      <c r="N30" s="279">
        <v>186916</v>
      </c>
      <c r="O30" s="279">
        <v>191783</v>
      </c>
      <c r="P30" s="279"/>
      <c r="Q30" s="279">
        <v>5665000</v>
      </c>
      <c r="R30" s="279">
        <v>189761</v>
      </c>
      <c r="S30" s="142">
        <f>(R30/Q30)*100</f>
        <v>3.3497087378640775</v>
      </c>
    </row>
    <row r="31" spans="1:19" ht="24.75" customHeight="1">
      <c r="A31" s="84"/>
      <c r="B31" s="84" t="s">
        <v>102</v>
      </c>
      <c r="C31" s="84"/>
      <c r="D31" s="84"/>
      <c r="E31" s="84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143"/>
    </row>
    <row r="32" spans="1:19" ht="24.75" customHeight="1">
      <c r="A32" s="84"/>
      <c r="B32" s="84" t="s">
        <v>576</v>
      </c>
      <c r="C32" s="84"/>
      <c r="D32" s="84"/>
      <c r="E32" s="84"/>
      <c r="F32" s="280">
        <v>177986</v>
      </c>
      <c r="G32" s="280">
        <v>205686</v>
      </c>
      <c r="H32" s="280">
        <v>153892.04</v>
      </c>
      <c r="I32" s="280">
        <v>94184</v>
      </c>
      <c r="J32" s="280">
        <v>92697</v>
      </c>
      <c r="K32" s="280">
        <v>98812</v>
      </c>
      <c r="L32" s="280">
        <v>125590</v>
      </c>
      <c r="M32" s="280">
        <v>161072</v>
      </c>
      <c r="N32" s="280">
        <v>152784</v>
      </c>
      <c r="O32" s="280">
        <v>157171</v>
      </c>
      <c r="P32" s="280"/>
      <c r="Q32" s="280">
        <v>7113523.529</v>
      </c>
      <c r="R32" s="280">
        <v>159940</v>
      </c>
      <c r="S32" s="143" t="s">
        <v>55</v>
      </c>
    </row>
    <row r="33" spans="1:19" ht="24.75" customHeight="1">
      <c r="A33" s="122" t="s">
        <v>294</v>
      </c>
      <c r="B33" s="84"/>
      <c r="C33" s="84"/>
      <c r="D33" s="84"/>
      <c r="E33" s="84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143"/>
    </row>
    <row r="34" spans="1:19" ht="24.75" customHeight="1">
      <c r="A34" s="84"/>
      <c r="B34" s="84" t="s">
        <v>103</v>
      </c>
      <c r="C34" s="84"/>
      <c r="D34" s="84"/>
      <c r="E34" s="84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143"/>
    </row>
    <row r="35" spans="1:19" s="45" customFormat="1" ht="24.75" customHeight="1">
      <c r="A35" s="141"/>
      <c r="B35" s="141" t="s">
        <v>374</v>
      </c>
      <c r="C35" s="141"/>
      <c r="D35" s="141"/>
      <c r="E35" s="141"/>
      <c r="F35" s="279">
        <v>7982</v>
      </c>
      <c r="G35" s="279">
        <v>7635.2</v>
      </c>
      <c r="H35" s="279">
        <v>7491.82</v>
      </c>
      <c r="I35" s="279">
        <v>8044</v>
      </c>
      <c r="J35" s="279">
        <v>8918.8</v>
      </c>
      <c r="K35" s="279">
        <v>9943.981</v>
      </c>
      <c r="L35" s="279">
        <v>10798.57</v>
      </c>
      <c r="M35" s="279">
        <v>11321.031</v>
      </c>
      <c r="N35" s="279">
        <v>11975.71</v>
      </c>
      <c r="O35" s="279">
        <v>13279.01</v>
      </c>
      <c r="P35" s="279"/>
      <c r="Q35" s="279">
        <v>1594404.932</v>
      </c>
      <c r="R35" s="279">
        <v>14308.7</v>
      </c>
      <c r="S35" s="142">
        <f>(R35/Q35)*100</f>
        <v>0.8974319956506507</v>
      </c>
    </row>
    <row r="36" spans="1:19" ht="24.75" customHeight="1">
      <c r="A36" s="84"/>
      <c r="B36" s="84" t="s">
        <v>123</v>
      </c>
      <c r="C36" s="84"/>
      <c r="D36" s="84"/>
      <c r="E36" s="84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143"/>
    </row>
    <row r="37" spans="1:19" ht="24.75" customHeight="1">
      <c r="A37" s="84"/>
      <c r="B37" s="84" t="s">
        <v>31</v>
      </c>
      <c r="C37" s="84"/>
      <c r="D37" s="84"/>
      <c r="E37" s="84"/>
      <c r="F37" s="280">
        <v>196920.6</v>
      </c>
      <c r="G37" s="280">
        <v>191544.8</v>
      </c>
      <c r="H37" s="280">
        <v>197866.06</v>
      </c>
      <c r="I37" s="280">
        <v>214033.48</v>
      </c>
      <c r="J37" s="280">
        <v>262119.9</v>
      </c>
      <c r="K37" s="280">
        <v>351015.13</v>
      </c>
      <c r="L37" s="280">
        <v>428417.484</v>
      </c>
      <c r="M37" s="280">
        <v>502489.12500000006</v>
      </c>
      <c r="N37" s="280">
        <v>640163.24</v>
      </c>
      <c r="O37" s="280">
        <v>718568.15</v>
      </c>
      <c r="P37" s="280"/>
      <c r="Q37" s="280">
        <v>19913987.796</v>
      </c>
      <c r="R37" s="280">
        <v>500122.92</v>
      </c>
      <c r="S37" s="143">
        <f>(R37/Q37)*100</f>
        <v>2.511415217902547</v>
      </c>
    </row>
    <row r="38" spans="1:19" ht="24.75" customHeight="1">
      <c r="A38" s="122" t="s">
        <v>104</v>
      </c>
      <c r="B38" s="84"/>
      <c r="C38" s="84"/>
      <c r="D38" s="84"/>
      <c r="E38" s="84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143"/>
    </row>
    <row r="39" spans="1:19" ht="24.75" customHeight="1">
      <c r="A39" s="84"/>
      <c r="B39" s="84" t="s">
        <v>105</v>
      </c>
      <c r="C39" s="84"/>
      <c r="D39" s="84"/>
      <c r="E39" s="84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1"/>
      <c r="R39" s="280"/>
      <c r="S39" s="143"/>
    </row>
    <row r="40" spans="1:19" ht="24.75" customHeight="1">
      <c r="A40" s="85"/>
      <c r="B40" s="85" t="s">
        <v>31</v>
      </c>
      <c r="C40" s="85"/>
      <c r="D40" s="85"/>
      <c r="E40" s="85"/>
      <c r="F40" s="279">
        <v>1675228.1</v>
      </c>
      <c r="G40" s="279">
        <v>1934729.7</v>
      </c>
      <c r="H40" s="279">
        <v>2286033.5</v>
      </c>
      <c r="I40" s="279">
        <v>3464200.16</v>
      </c>
      <c r="J40" s="279">
        <v>3845272</v>
      </c>
      <c r="K40" s="279">
        <v>3476820</v>
      </c>
      <c r="L40" s="279">
        <v>3821247.965984447</v>
      </c>
      <c r="M40" s="279">
        <v>4341496.462137801</v>
      </c>
      <c r="N40" s="279">
        <v>5788271.6959999995</v>
      </c>
      <c r="O40" s="279">
        <v>6311142</v>
      </c>
      <c r="P40" s="279"/>
      <c r="Q40" s="279">
        <v>263687249.345</v>
      </c>
      <c r="R40" s="279">
        <v>6121543</v>
      </c>
      <c r="S40" s="142">
        <f>(R40/Q40)*100</f>
        <v>2.3215164992641597</v>
      </c>
    </row>
    <row r="41" spans="1:19" ht="24.75" customHeight="1">
      <c r="A41" s="84"/>
      <c r="B41" s="84" t="s">
        <v>106</v>
      </c>
      <c r="C41" s="84"/>
      <c r="D41" s="84"/>
      <c r="E41" s="84"/>
      <c r="F41" s="280">
        <v>295744</v>
      </c>
      <c r="G41" s="280">
        <f>SUM(G42:G44)</f>
        <v>420190.60000000003</v>
      </c>
      <c r="H41" s="280">
        <v>555028.8</v>
      </c>
      <c r="I41" s="280">
        <f>SUM(I42:I44)</f>
        <v>917242.02</v>
      </c>
      <c r="J41" s="280">
        <v>987715.2000000001</v>
      </c>
      <c r="K41" s="280">
        <v>1161007.7</v>
      </c>
      <c r="L41" s="280">
        <v>1468764.998211127</v>
      </c>
      <c r="M41" s="280">
        <v>1852886.3419230003</v>
      </c>
      <c r="N41" s="280">
        <f>N42+N43+N44</f>
        <v>3052916.9110000003</v>
      </c>
      <c r="O41" s="280">
        <f>O42+O43+O44</f>
        <v>2906922</v>
      </c>
      <c r="P41" s="280"/>
      <c r="Q41" s="280">
        <f>SUM(Q42:Q44)</f>
        <v>169889725.486</v>
      </c>
      <c r="R41" s="280">
        <f>SUM(R42:R44)</f>
        <v>3292148</v>
      </c>
      <c r="S41" s="143">
        <f>(R41/Q41)*100</f>
        <v>1.9378146562908503</v>
      </c>
    </row>
    <row r="42" spans="1:19" ht="24.75" customHeight="1">
      <c r="A42" s="157"/>
      <c r="B42" s="85"/>
      <c r="C42" s="85" t="s">
        <v>107</v>
      </c>
      <c r="D42" s="85"/>
      <c r="E42" s="85"/>
      <c r="F42" s="279">
        <v>78969.9</v>
      </c>
      <c r="G42" s="282">
        <v>106404.3</v>
      </c>
      <c r="H42" s="282">
        <v>119496.4</v>
      </c>
      <c r="I42" s="279">
        <v>148945.91</v>
      </c>
      <c r="J42" s="279">
        <v>196905.4</v>
      </c>
      <c r="K42" s="279">
        <v>241762.1</v>
      </c>
      <c r="L42" s="279">
        <v>338809.816804</v>
      </c>
      <c r="M42" s="279">
        <v>388903.771973</v>
      </c>
      <c r="N42" s="279">
        <v>540369.265</v>
      </c>
      <c r="O42" s="279">
        <v>692878</v>
      </c>
      <c r="P42" s="279"/>
      <c r="Q42" s="282">
        <v>68321983.402</v>
      </c>
      <c r="R42" s="279">
        <v>825750</v>
      </c>
      <c r="S42" s="142">
        <f>(R42/Q42)*100</f>
        <v>1.208615380998772</v>
      </c>
    </row>
    <row r="43" spans="1:19" ht="24.75" customHeight="1">
      <c r="A43" s="122"/>
      <c r="B43" s="84"/>
      <c r="C43" s="84" t="s">
        <v>108</v>
      </c>
      <c r="D43" s="84"/>
      <c r="E43" s="84"/>
      <c r="F43" s="280">
        <v>199390.1</v>
      </c>
      <c r="G43" s="281">
        <v>268998.4</v>
      </c>
      <c r="H43" s="281">
        <v>359128.3</v>
      </c>
      <c r="I43" s="280">
        <v>589465.1</v>
      </c>
      <c r="J43" s="280">
        <v>673617</v>
      </c>
      <c r="K43" s="280">
        <v>804430.3</v>
      </c>
      <c r="L43" s="280">
        <v>999687.3630071271</v>
      </c>
      <c r="M43" s="280">
        <v>1300237.0499500001</v>
      </c>
      <c r="N43" s="280">
        <v>2305338.48</v>
      </c>
      <c r="O43" s="280">
        <v>1988853</v>
      </c>
      <c r="P43" s="280"/>
      <c r="Q43" s="281">
        <v>56721088.86</v>
      </c>
      <c r="R43" s="280">
        <v>2248871</v>
      </c>
      <c r="S43" s="143">
        <f>(R43/Q43)*100</f>
        <v>3.9647881329477004</v>
      </c>
    </row>
    <row r="44" spans="1:19" ht="24.75" customHeight="1">
      <c r="A44" s="157"/>
      <c r="B44" s="85"/>
      <c r="C44" s="85" t="s">
        <v>109</v>
      </c>
      <c r="D44" s="85"/>
      <c r="E44" s="85"/>
      <c r="F44" s="279">
        <v>17384</v>
      </c>
      <c r="G44" s="282">
        <v>44787.9</v>
      </c>
      <c r="H44" s="282">
        <v>76404.1</v>
      </c>
      <c r="I44" s="279">
        <v>178831.01</v>
      </c>
      <c r="J44" s="279">
        <v>117192.8</v>
      </c>
      <c r="K44" s="279">
        <v>114815.3</v>
      </c>
      <c r="L44" s="279">
        <v>130267.8184</v>
      </c>
      <c r="M44" s="279">
        <v>163745.52</v>
      </c>
      <c r="N44" s="279">
        <v>207209.166</v>
      </c>
      <c r="O44" s="279">
        <v>225191</v>
      </c>
      <c r="P44" s="279"/>
      <c r="Q44" s="282">
        <v>44846653.224</v>
      </c>
      <c r="R44" s="279">
        <v>217527</v>
      </c>
      <c r="S44" s="142">
        <f>(R44/Q44)*100</f>
        <v>0.4850462283405998</v>
      </c>
    </row>
    <row r="45" spans="1:19" ht="24.75" customHeight="1">
      <c r="A45" s="122" t="s">
        <v>110</v>
      </c>
      <c r="B45" s="84"/>
      <c r="C45" s="84"/>
      <c r="D45" s="84"/>
      <c r="E45" s="84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</row>
    <row r="46" spans="1:19" ht="24.75" customHeight="1">
      <c r="A46" s="84"/>
      <c r="B46" s="84" t="s">
        <v>111</v>
      </c>
      <c r="C46" s="84"/>
      <c r="D46" s="84"/>
      <c r="E46" s="84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</row>
    <row r="47" spans="1:19" s="45" customFormat="1" ht="24.75" customHeight="1">
      <c r="A47" s="141"/>
      <c r="B47" s="141" t="s">
        <v>1</v>
      </c>
      <c r="C47" s="141"/>
      <c r="D47" s="141"/>
      <c r="E47" s="141"/>
      <c r="F47" s="282">
        <v>14732029</v>
      </c>
      <c r="G47" s="282">
        <v>14976218</v>
      </c>
      <c r="H47" s="282">
        <v>15644803</v>
      </c>
      <c r="I47" s="282">
        <v>15546708.275000002</v>
      </c>
      <c r="J47" s="282">
        <v>15751956</v>
      </c>
      <c r="K47" s="282">
        <v>15614085</v>
      </c>
      <c r="L47" s="282">
        <v>15233258</v>
      </c>
      <c r="M47" s="282">
        <v>16089554</v>
      </c>
      <c r="N47" s="282">
        <v>16880812.8</v>
      </c>
      <c r="O47" s="282">
        <v>17497548.62</v>
      </c>
      <c r="P47" s="282"/>
      <c r="Q47" s="279">
        <v>206129990.01</v>
      </c>
      <c r="R47" s="282">
        <v>17687976</v>
      </c>
      <c r="S47" s="146">
        <f>(R47/Q47)*100</f>
        <v>8.580981350235305</v>
      </c>
    </row>
    <row r="48" spans="1:19" ht="24.75" customHeight="1">
      <c r="A48" s="84"/>
      <c r="B48" s="84" t="s">
        <v>112</v>
      </c>
      <c r="C48" s="84"/>
      <c r="D48" s="84"/>
      <c r="E48" s="84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0"/>
      <c r="R48" s="281"/>
      <c r="S48" s="144"/>
    </row>
    <row r="49" spans="1:19" ht="24.75" customHeight="1">
      <c r="A49" s="84"/>
      <c r="B49" s="84" t="s">
        <v>31</v>
      </c>
      <c r="C49" s="84"/>
      <c r="D49" s="84"/>
      <c r="E49" s="84"/>
      <c r="F49" s="281">
        <v>16018813</v>
      </c>
      <c r="G49" s="281">
        <v>15276877</v>
      </c>
      <c r="H49" s="281">
        <v>17132958.2</v>
      </c>
      <c r="I49" s="281">
        <v>18985545.6</v>
      </c>
      <c r="J49" s="281">
        <v>19899054</v>
      </c>
      <c r="K49" s="281">
        <v>23212159</v>
      </c>
      <c r="L49" s="281">
        <v>19235458</v>
      </c>
      <c r="M49" s="281">
        <v>23653359</v>
      </c>
      <c r="N49" s="281">
        <v>26438312.08</v>
      </c>
      <c r="O49" s="281">
        <v>28924529.07</v>
      </c>
      <c r="P49" s="281"/>
      <c r="Q49" s="280">
        <v>314163009.63</v>
      </c>
      <c r="R49" s="281">
        <v>30003945</v>
      </c>
      <c r="S49" s="144">
        <f>(R49/Q49)*100</f>
        <v>9.550438492213525</v>
      </c>
    </row>
    <row r="50" spans="1:19" s="45" customFormat="1" ht="24.75" customHeight="1">
      <c r="A50" s="141"/>
      <c r="B50" s="141" t="s">
        <v>113</v>
      </c>
      <c r="C50" s="141"/>
      <c r="D50" s="141"/>
      <c r="E50" s="141"/>
      <c r="F50" s="282">
        <v>2695971</v>
      </c>
      <c r="G50" s="282">
        <v>2747385</v>
      </c>
      <c r="H50" s="282">
        <v>2804387</v>
      </c>
      <c r="I50" s="282">
        <v>2793061</v>
      </c>
      <c r="J50" s="282">
        <v>2860704</v>
      </c>
      <c r="K50" s="282">
        <v>2951053</v>
      </c>
      <c r="L50" s="282">
        <v>3055944</v>
      </c>
      <c r="M50" s="282">
        <v>3524114</v>
      </c>
      <c r="N50" s="282">
        <v>3752936</v>
      </c>
      <c r="O50" s="282">
        <v>3917400</v>
      </c>
      <c r="P50" s="282"/>
      <c r="Q50" s="279">
        <v>37433693</v>
      </c>
      <c r="R50" s="282">
        <v>4050931</v>
      </c>
      <c r="S50" s="142">
        <f>(R50/Q50)*100</f>
        <v>10.82161730609908</v>
      </c>
    </row>
    <row r="51" spans="1:23" ht="24.75" customHeight="1">
      <c r="A51" s="122" t="s">
        <v>577</v>
      </c>
      <c r="B51" s="84"/>
      <c r="C51" s="84"/>
      <c r="D51" s="84"/>
      <c r="E51" s="8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3"/>
      <c r="R51" s="144"/>
      <c r="S51" s="144"/>
      <c r="T51" s="28"/>
      <c r="U51" s="8"/>
      <c r="V51" s="8"/>
      <c r="W51" s="18"/>
    </row>
    <row r="52" spans="1:23" ht="24.75" customHeight="1">
      <c r="A52" s="84"/>
      <c r="B52" s="84" t="s">
        <v>114</v>
      </c>
      <c r="C52" s="75"/>
      <c r="D52" s="75"/>
      <c r="E52" s="75"/>
      <c r="F52" s="114">
        <v>497</v>
      </c>
      <c r="G52" s="114">
        <v>500</v>
      </c>
      <c r="H52" s="114">
        <v>534</v>
      </c>
      <c r="I52" s="114">
        <v>559</v>
      </c>
      <c r="J52" s="114">
        <v>590</v>
      </c>
      <c r="K52" s="114">
        <v>622</v>
      </c>
      <c r="L52" s="115">
        <v>647</v>
      </c>
      <c r="M52" s="115">
        <v>657</v>
      </c>
      <c r="N52" s="115">
        <v>665</v>
      </c>
      <c r="O52" s="115">
        <v>692</v>
      </c>
      <c r="P52" s="114"/>
      <c r="Q52" s="115">
        <v>18199</v>
      </c>
      <c r="R52" s="115">
        <v>694</v>
      </c>
      <c r="S52" s="144">
        <f>(R52/Q52)*100</f>
        <v>3.8133963404582674</v>
      </c>
      <c r="T52" s="237"/>
      <c r="U52" s="8"/>
      <c r="V52" s="8"/>
      <c r="W52" s="18"/>
    </row>
    <row r="53" spans="1:23" s="45" customFormat="1" ht="24.75" customHeight="1">
      <c r="A53" s="141"/>
      <c r="B53" s="141" t="s">
        <v>115</v>
      </c>
      <c r="C53" s="140"/>
      <c r="D53" s="140"/>
      <c r="E53" s="140"/>
      <c r="F53" s="118">
        <v>16914</v>
      </c>
      <c r="G53" s="118">
        <v>16925</v>
      </c>
      <c r="H53" s="118">
        <v>17872</v>
      </c>
      <c r="I53" s="118">
        <v>18448</v>
      </c>
      <c r="J53" s="118">
        <v>20484</v>
      </c>
      <c r="K53" s="118">
        <v>21871</v>
      </c>
      <c r="L53" s="119">
        <v>22550</v>
      </c>
      <c r="M53" s="119">
        <v>22856</v>
      </c>
      <c r="N53" s="119">
        <v>23445</v>
      </c>
      <c r="O53" s="119">
        <v>23608</v>
      </c>
      <c r="P53" s="118"/>
      <c r="Q53" s="119">
        <v>672296</v>
      </c>
      <c r="R53" s="119">
        <v>23645</v>
      </c>
      <c r="S53" s="142">
        <f>(R53/Q53)*100</f>
        <v>3.517052012803884</v>
      </c>
      <c r="T53" s="233"/>
      <c r="U53" s="234"/>
      <c r="V53" s="234"/>
      <c r="W53" s="235"/>
    </row>
    <row r="54" spans="1:19" ht="24.75" customHeight="1">
      <c r="A54" s="122" t="s">
        <v>116</v>
      </c>
      <c r="B54" s="84"/>
      <c r="C54" s="84"/>
      <c r="D54" s="84"/>
      <c r="E54" s="8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3"/>
      <c r="R54" s="144"/>
      <c r="S54" s="144"/>
    </row>
    <row r="55" spans="1:19" ht="24.75" customHeight="1">
      <c r="A55" s="84"/>
      <c r="B55" s="84" t="s">
        <v>578</v>
      </c>
      <c r="C55" s="84"/>
      <c r="D55" s="84"/>
      <c r="E55" s="8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3"/>
      <c r="R55" s="144"/>
      <c r="S55" s="144"/>
    </row>
    <row r="56" spans="1:19" ht="24.75" customHeight="1">
      <c r="A56" s="85"/>
      <c r="B56" s="85" t="s">
        <v>376</v>
      </c>
      <c r="C56" s="85"/>
      <c r="D56" s="85"/>
      <c r="E56" s="85"/>
      <c r="F56" s="282">
        <v>14182</v>
      </c>
      <c r="G56" s="282">
        <v>14188</v>
      </c>
      <c r="H56" s="282">
        <v>14314</v>
      </c>
      <c r="I56" s="282">
        <v>14550</v>
      </c>
      <c r="J56" s="282">
        <v>14754</v>
      </c>
      <c r="K56" s="282">
        <v>14759</v>
      </c>
      <c r="L56" s="282">
        <v>13704</v>
      </c>
      <c r="M56" s="282">
        <v>13710</v>
      </c>
      <c r="N56" s="282">
        <v>13222</v>
      </c>
      <c r="O56" s="282">
        <v>13326</v>
      </c>
      <c r="P56" s="282"/>
      <c r="Q56" s="282">
        <v>378923</v>
      </c>
      <c r="R56" s="282">
        <v>15780.6</v>
      </c>
      <c r="S56" s="146">
        <f>(R56/Q56)*100</f>
        <v>4.164592806454081</v>
      </c>
    </row>
    <row r="57" spans="1:20" ht="24.75" customHeight="1">
      <c r="A57" s="84"/>
      <c r="B57" s="84" t="s">
        <v>117</v>
      </c>
      <c r="C57" s="84"/>
      <c r="D57" s="84"/>
      <c r="E57" s="84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0"/>
      <c r="R57" s="281"/>
      <c r="S57" s="144"/>
      <c r="T57" s="24"/>
    </row>
    <row r="58" spans="1:20" ht="24.75" customHeight="1">
      <c r="A58" s="84"/>
      <c r="B58" s="84" t="s">
        <v>376</v>
      </c>
      <c r="C58" s="84"/>
      <c r="D58" s="84"/>
      <c r="E58" s="84"/>
      <c r="F58" s="281">
        <v>1284</v>
      </c>
      <c r="G58" s="281">
        <v>1284</v>
      </c>
      <c r="H58" s="281">
        <v>1284</v>
      </c>
      <c r="I58" s="281">
        <v>1200.58</v>
      </c>
      <c r="J58" s="281">
        <v>1200.58</v>
      </c>
      <c r="K58" s="281">
        <v>1424.4</v>
      </c>
      <c r="L58" s="281">
        <v>1304.1</v>
      </c>
      <c r="M58" s="281">
        <v>1304</v>
      </c>
      <c r="N58" s="281">
        <v>1304.1</v>
      </c>
      <c r="O58" s="281">
        <v>1304.1</v>
      </c>
      <c r="P58" s="281"/>
      <c r="Q58" s="281">
        <v>26727</v>
      </c>
      <c r="R58" s="281">
        <v>1304.1</v>
      </c>
      <c r="S58" s="144">
        <f>(R58/Q58)*100</f>
        <v>4.879335503423504</v>
      </c>
      <c r="T58" s="24"/>
    </row>
    <row r="59" spans="1:19" s="45" customFormat="1" ht="24.75" customHeight="1">
      <c r="A59" s="141"/>
      <c r="B59" s="141" t="s">
        <v>579</v>
      </c>
      <c r="C59" s="141"/>
      <c r="D59" s="141"/>
      <c r="E59" s="141"/>
      <c r="F59" s="118">
        <v>2</v>
      </c>
      <c r="G59" s="118">
        <v>2</v>
      </c>
      <c r="H59" s="118">
        <v>2</v>
      </c>
      <c r="I59" s="118">
        <v>2</v>
      </c>
      <c r="J59" s="118">
        <v>2</v>
      </c>
      <c r="K59" s="118">
        <v>2</v>
      </c>
      <c r="L59" s="118">
        <v>2</v>
      </c>
      <c r="M59" s="118">
        <v>2</v>
      </c>
      <c r="N59" s="118">
        <v>2</v>
      </c>
      <c r="O59" s="118">
        <v>2</v>
      </c>
      <c r="P59" s="118"/>
      <c r="Q59" s="118">
        <v>76</v>
      </c>
      <c r="R59" s="118">
        <v>2</v>
      </c>
      <c r="S59" s="146">
        <f>(R59/Q59)*100</f>
        <v>2.631578947368421</v>
      </c>
    </row>
    <row r="60" spans="1:19" ht="24.75" customHeight="1">
      <c r="A60" s="84"/>
      <c r="B60" s="84" t="s">
        <v>118</v>
      </c>
      <c r="C60" s="84"/>
      <c r="D60" s="84"/>
      <c r="E60" s="84"/>
      <c r="F60" s="114">
        <v>3</v>
      </c>
      <c r="G60" s="114">
        <v>1</v>
      </c>
      <c r="H60" s="114">
        <v>1</v>
      </c>
      <c r="I60" s="114">
        <v>1</v>
      </c>
      <c r="J60" s="114">
        <v>1</v>
      </c>
      <c r="K60" s="114">
        <v>1</v>
      </c>
      <c r="L60" s="114">
        <v>1</v>
      </c>
      <c r="M60" s="114">
        <v>6</v>
      </c>
      <c r="N60" s="114">
        <v>6</v>
      </c>
      <c r="O60" s="114">
        <v>6</v>
      </c>
      <c r="P60" s="114"/>
      <c r="Q60" s="114">
        <v>1395</v>
      </c>
      <c r="R60" s="114">
        <v>3</v>
      </c>
      <c r="S60" s="144">
        <f>(R60/Q60)*100</f>
        <v>0.21505376344086022</v>
      </c>
    </row>
    <row r="61" spans="1:19" s="45" customFormat="1" ht="24.75" customHeight="1">
      <c r="A61" s="141"/>
      <c r="B61" s="141" t="s">
        <v>580</v>
      </c>
      <c r="C61" s="141"/>
      <c r="D61" s="141"/>
      <c r="E61" s="141"/>
      <c r="F61" s="118">
        <v>1066</v>
      </c>
      <c r="G61" s="118">
        <v>1425</v>
      </c>
      <c r="H61" s="118">
        <v>1501</v>
      </c>
      <c r="I61" s="118">
        <v>1618</v>
      </c>
      <c r="J61" s="118">
        <v>1500</v>
      </c>
      <c r="K61" s="118">
        <v>1522</v>
      </c>
      <c r="L61" s="118">
        <v>1391</v>
      </c>
      <c r="M61" s="118">
        <v>1419</v>
      </c>
      <c r="N61" s="118">
        <v>1427</v>
      </c>
      <c r="O61" s="118">
        <v>911</v>
      </c>
      <c r="P61" s="118"/>
      <c r="Q61" s="118">
        <v>27037</v>
      </c>
      <c r="R61" s="118">
        <v>837</v>
      </c>
      <c r="S61" s="146">
        <f>(R61/Q61)*100</f>
        <v>3.0957576654214596</v>
      </c>
    </row>
    <row r="62" spans="1:19" ht="24.75" customHeight="1">
      <c r="A62" s="84"/>
      <c r="B62" s="84" t="s">
        <v>119</v>
      </c>
      <c r="C62" s="84"/>
      <c r="D62" s="84"/>
      <c r="E62" s="84"/>
      <c r="F62" s="114">
        <v>80</v>
      </c>
      <c r="G62" s="114">
        <v>79</v>
      </c>
      <c r="H62" s="114">
        <v>79</v>
      </c>
      <c r="I62" s="114">
        <v>80</v>
      </c>
      <c r="J62" s="114">
        <v>83</v>
      </c>
      <c r="K62" s="114">
        <v>85</v>
      </c>
      <c r="L62" s="114">
        <v>84</v>
      </c>
      <c r="M62" s="114">
        <v>87</v>
      </c>
      <c r="N62" s="114">
        <v>87</v>
      </c>
      <c r="O62" s="114">
        <v>86</v>
      </c>
      <c r="P62" s="114"/>
      <c r="Q62" s="115">
        <v>1615</v>
      </c>
      <c r="R62" s="114">
        <v>87</v>
      </c>
      <c r="S62" s="144">
        <f>(R62/Q62)*100</f>
        <v>5.386996904024768</v>
      </c>
    </row>
    <row r="63" spans="1:19" ht="24.75" customHeight="1">
      <c r="A63" s="106" t="s">
        <v>25</v>
      </c>
      <c r="B63" s="84"/>
      <c r="C63" s="84"/>
      <c r="D63" s="84"/>
      <c r="E63" s="84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105"/>
      <c r="R63" s="82"/>
      <c r="S63" s="136"/>
    </row>
    <row r="64" ht="15" customHeight="1"/>
    <row r="65" spans="1:19" ht="15" customHeight="1">
      <c r="A65" s="464"/>
      <c r="B65" s="464"/>
      <c r="C65" s="464"/>
      <c r="D65" s="464"/>
      <c r="E65" s="464"/>
      <c r="F65" s="464"/>
      <c r="G65" s="464"/>
      <c r="H65" s="464"/>
      <c r="I65" s="464"/>
      <c r="J65" s="464"/>
      <c r="K65" s="464"/>
      <c r="L65" s="464"/>
      <c r="M65" s="464"/>
      <c r="N65" s="464"/>
      <c r="O65" s="464"/>
      <c r="P65" s="464"/>
      <c r="Q65" s="464"/>
      <c r="R65" s="464"/>
      <c r="S65" s="464"/>
    </row>
    <row r="66" ht="15" customHeight="1"/>
    <row r="70" ht="15">
      <c r="R70" s="19"/>
    </row>
  </sheetData>
  <sheetProtection/>
  <mergeCells count="14">
    <mergeCell ref="A65:S65"/>
    <mergeCell ref="A4:E5"/>
    <mergeCell ref="R1:S1"/>
    <mergeCell ref="Q4:S4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scale="43" r:id="rId2"/>
  <headerFooter alignWithMargins="0">
    <oddHeader>&amp;C
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theme="9" tint="-0.24997000396251678"/>
  </sheetPr>
  <dimension ref="A1:V90"/>
  <sheetViews>
    <sheetView showGridLines="0" view="pageBreakPreview" zoomScale="130" zoomScaleNormal="70" zoomScaleSheetLayoutView="130" zoomScalePageLayoutView="0" workbookViewId="0" topLeftCell="A22">
      <selection activeCell="B24" sqref="B24"/>
    </sheetView>
  </sheetViews>
  <sheetFormatPr defaultColWidth="11.5546875" defaultRowHeight="15.75"/>
  <cols>
    <col min="1" max="4" width="2.77734375" style="4" customWidth="1"/>
    <col min="5" max="5" width="25.6640625" style="4" customWidth="1"/>
    <col min="6" max="6" width="11.77734375" style="4" customWidth="1"/>
    <col min="7" max="8" width="11.77734375" style="9" customWidth="1"/>
    <col min="9" max="13" width="11.77734375" style="10" customWidth="1"/>
    <col min="14" max="14" width="12.6640625" style="10" customWidth="1"/>
    <col min="15" max="15" width="11.77734375" style="10" customWidth="1"/>
    <col min="16" max="16" width="1.77734375" style="10" customWidth="1"/>
    <col min="17" max="18" width="11.77734375" style="9" customWidth="1"/>
    <col min="19" max="19" width="9.10546875" style="4" customWidth="1"/>
    <col min="20" max="20" width="2.77734375" style="4" hidden="1" customWidth="1"/>
    <col min="21" max="21" width="9.77734375" style="4" customWidth="1"/>
    <col min="22" max="22" width="9.77734375" style="18" customWidth="1"/>
    <col min="23" max="23" width="12.77734375" style="4" customWidth="1"/>
    <col min="24" max="30" width="9.77734375" style="4" customWidth="1"/>
    <col min="31" max="32" width="5.77734375" style="4" customWidth="1"/>
    <col min="33" max="35" width="9.77734375" style="4" customWidth="1"/>
    <col min="36" max="36" width="12.77734375" style="4" customWidth="1"/>
    <col min="37" max="16384" width="11.5546875" style="4" customWidth="1"/>
  </cols>
  <sheetData>
    <row r="1" spans="1:19" s="13" customFormat="1" ht="24.75" customHeight="1">
      <c r="A1" s="129" t="s">
        <v>62</v>
      </c>
      <c r="B1" s="129"/>
      <c r="C1" s="129"/>
      <c r="D1" s="129"/>
      <c r="E1" s="129"/>
      <c r="F1" s="129"/>
      <c r="G1" s="129"/>
      <c r="H1" s="129"/>
      <c r="I1" s="5"/>
      <c r="J1" s="5"/>
      <c r="K1" s="5"/>
      <c r="L1" s="5"/>
      <c r="M1" s="5"/>
      <c r="N1" s="5"/>
      <c r="O1" s="5"/>
      <c r="P1" s="5"/>
      <c r="Q1" s="5"/>
      <c r="R1" s="469" t="s">
        <v>63</v>
      </c>
      <c r="S1" s="469"/>
    </row>
    <row r="2" spans="1:19" s="13" customFormat="1" ht="24.75" customHeight="1">
      <c r="A2" s="129" t="s">
        <v>512</v>
      </c>
      <c r="B2" s="130"/>
      <c r="C2" s="130"/>
      <c r="D2" s="130"/>
      <c r="E2" s="130"/>
      <c r="F2" s="130"/>
      <c r="G2" s="130"/>
      <c r="H2" s="130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13" customFormat="1" ht="24.75" customHeight="1">
      <c r="A3" s="7"/>
      <c r="B3" s="4"/>
      <c r="C3" s="4"/>
      <c r="D3" s="4"/>
      <c r="E3" s="4"/>
      <c r="F3" s="8"/>
      <c r="G3" s="9"/>
      <c r="H3" s="9"/>
      <c r="I3" s="10"/>
      <c r="J3" s="10"/>
      <c r="K3" s="10"/>
      <c r="L3" s="10"/>
      <c r="M3" s="10"/>
      <c r="N3" s="10"/>
      <c r="O3" s="10"/>
      <c r="P3" s="10"/>
      <c r="Q3" s="9"/>
      <c r="R3" s="9"/>
      <c r="S3" s="4"/>
    </row>
    <row r="4" spans="1:19" s="13" customFormat="1" ht="24.75" customHeight="1">
      <c r="A4" s="470" t="s">
        <v>64</v>
      </c>
      <c r="B4" s="470"/>
      <c r="C4" s="470"/>
      <c r="D4" s="470"/>
      <c r="E4" s="470"/>
      <c r="F4" s="458">
        <v>2003</v>
      </c>
      <c r="G4" s="458">
        <v>2004</v>
      </c>
      <c r="H4" s="458">
        <v>2005</v>
      </c>
      <c r="I4" s="458">
        <v>2006</v>
      </c>
      <c r="J4" s="458">
        <v>2007</v>
      </c>
      <c r="K4" s="458">
        <v>2008</v>
      </c>
      <c r="L4" s="458">
        <v>2009</v>
      </c>
      <c r="M4" s="458">
        <v>2010</v>
      </c>
      <c r="N4" s="458">
        <v>2011</v>
      </c>
      <c r="O4" s="458">
        <v>2012</v>
      </c>
      <c r="P4" s="126"/>
      <c r="Q4" s="472" t="s">
        <v>499</v>
      </c>
      <c r="R4" s="472"/>
      <c r="S4" s="472"/>
    </row>
    <row r="5" spans="1:19" s="13" customFormat="1" ht="24.75" customHeight="1">
      <c r="A5" s="471"/>
      <c r="B5" s="471"/>
      <c r="C5" s="471"/>
      <c r="D5" s="471"/>
      <c r="E5" s="471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131"/>
      <c r="Q5" s="131" t="s">
        <v>65</v>
      </c>
      <c r="R5" s="131" t="s">
        <v>66</v>
      </c>
      <c r="S5" s="131" t="s">
        <v>19</v>
      </c>
    </row>
    <row r="6" spans="1:22" ht="24.75" customHeight="1">
      <c r="A6" s="84"/>
      <c r="B6" s="84" t="s">
        <v>581</v>
      </c>
      <c r="C6" s="84"/>
      <c r="D6" s="84"/>
      <c r="E6" s="84"/>
      <c r="F6" s="87"/>
      <c r="G6" s="87"/>
      <c r="H6" s="87"/>
      <c r="I6" s="87"/>
      <c r="J6" s="87"/>
      <c r="K6" s="87"/>
      <c r="L6" s="87"/>
      <c r="M6" s="87"/>
      <c r="N6" s="4"/>
      <c r="O6" s="4"/>
      <c r="P6" s="87"/>
      <c r="Q6" s="159"/>
      <c r="R6" s="159"/>
      <c r="S6" s="136"/>
      <c r="V6" s="4"/>
    </row>
    <row r="7" spans="1:22" ht="24.75" customHeight="1">
      <c r="A7" s="84"/>
      <c r="B7" s="84" t="s">
        <v>377</v>
      </c>
      <c r="C7" s="84"/>
      <c r="D7" s="84"/>
      <c r="E7" s="84"/>
      <c r="F7" s="87">
        <v>96261375</v>
      </c>
      <c r="G7" s="87">
        <v>28476676</v>
      </c>
      <c r="H7" s="87">
        <v>107092425</v>
      </c>
      <c r="I7" s="159">
        <v>108019000</v>
      </c>
      <c r="J7" s="159">
        <v>238339058</v>
      </c>
      <c r="K7" s="159">
        <v>262821374</v>
      </c>
      <c r="L7" s="159">
        <v>224029807</v>
      </c>
      <c r="M7" s="159">
        <v>231922000</v>
      </c>
      <c r="N7" s="159">
        <f>224885*1000</f>
        <v>224885000</v>
      </c>
      <c r="O7" s="159">
        <v>226485</v>
      </c>
      <c r="P7" s="87"/>
      <c r="Q7" s="159">
        <v>794734814</v>
      </c>
      <c r="R7" s="159">
        <v>208587</v>
      </c>
      <c r="S7" s="160">
        <f aca="true" t="shared" si="0" ref="S7:S12">(N7/Q7)*100</f>
        <v>28.296860290808905</v>
      </c>
      <c r="V7" s="4"/>
    </row>
    <row r="8" spans="1:19" s="45" customFormat="1" ht="24.75" customHeight="1">
      <c r="A8" s="161"/>
      <c r="B8" s="141"/>
      <c r="C8" s="141" t="s">
        <v>120</v>
      </c>
      <c r="D8" s="141"/>
      <c r="E8" s="141"/>
      <c r="F8" s="162">
        <v>95664775</v>
      </c>
      <c r="G8" s="162">
        <v>27959527</v>
      </c>
      <c r="H8" s="162">
        <v>103874022</v>
      </c>
      <c r="I8" s="162">
        <v>107015000</v>
      </c>
      <c r="J8" s="162">
        <v>234344818</v>
      </c>
      <c r="K8" s="162">
        <v>257954974</v>
      </c>
      <c r="L8" s="162">
        <v>216052358</v>
      </c>
      <c r="M8" s="162">
        <v>229688000</v>
      </c>
      <c r="N8" s="162">
        <f>222759*1000</f>
        <v>222759000</v>
      </c>
      <c r="O8" s="162">
        <v>224129</v>
      </c>
      <c r="P8" s="162"/>
      <c r="Q8" s="163">
        <v>755074228</v>
      </c>
      <c r="R8" s="162">
        <v>206882</v>
      </c>
      <c r="S8" s="164">
        <f t="shared" si="0"/>
        <v>29.501602854335534</v>
      </c>
    </row>
    <row r="9" spans="1:22" ht="24.75" customHeight="1">
      <c r="A9" s="122"/>
      <c r="B9" s="84"/>
      <c r="C9" s="84" t="s">
        <v>121</v>
      </c>
      <c r="D9" s="84"/>
      <c r="E9" s="84"/>
      <c r="F9" s="87">
        <v>596600</v>
      </c>
      <c r="G9" s="87">
        <v>517149</v>
      </c>
      <c r="H9" s="87">
        <v>3218403</v>
      </c>
      <c r="I9" s="87">
        <v>1004000</v>
      </c>
      <c r="J9" s="87">
        <v>3994240</v>
      </c>
      <c r="K9" s="87">
        <v>4866400</v>
      </c>
      <c r="L9" s="87">
        <v>7977449</v>
      </c>
      <c r="M9" s="87">
        <v>2234000</v>
      </c>
      <c r="N9" s="87">
        <f>2126*1000</f>
        <v>2126000</v>
      </c>
      <c r="O9" s="87">
        <v>2356</v>
      </c>
      <c r="P9" s="87"/>
      <c r="Q9" s="105">
        <v>39660586</v>
      </c>
      <c r="R9" s="87">
        <v>1705</v>
      </c>
      <c r="S9" s="160">
        <f t="shared" si="0"/>
        <v>5.360485596455887</v>
      </c>
      <c r="V9" s="4"/>
    </row>
    <row r="10" spans="1:19" s="45" customFormat="1" ht="24.75" customHeight="1">
      <c r="A10" s="141"/>
      <c r="B10" s="141" t="s">
        <v>582</v>
      </c>
      <c r="C10" s="141"/>
      <c r="D10" s="141"/>
      <c r="E10" s="141"/>
      <c r="F10" s="165">
        <v>2164440</v>
      </c>
      <c r="G10" s="165">
        <v>2440021</v>
      </c>
      <c r="H10" s="165">
        <v>2631339</v>
      </c>
      <c r="I10" s="165">
        <v>2633221</v>
      </c>
      <c r="J10" s="165">
        <v>2462673</v>
      </c>
      <c r="K10" s="165">
        <v>2457372</v>
      </c>
      <c r="L10" s="162">
        <v>2197974</v>
      </c>
      <c r="M10" s="162">
        <v>2182747</v>
      </c>
      <c r="N10" s="162">
        <v>2150146</v>
      </c>
      <c r="O10" s="162">
        <v>2115869</v>
      </c>
      <c r="P10" s="162"/>
      <c r="Q10" s="165">
        <v>20590449</v>
      </c>
      <c r="R10" s="162">
        <v>2043057</v>
      </c>
      <c r="S10" s="164">
        <f t="shared" si="0"/>
        <v>10.442443484355294</v>
      </c>
    </row>
    <row r="11" spans="1:21" ht="24.75" customHeight="1">
      <c r="A11" s="84"/>
      <c r="B11" s="84" t="s">
        <v>583</v>
      </c>
      <c r="C11" s="84"/>
      <c r="D11" s="84"/>
      <c r="E11" s="84"/>
      <c r="F11" s="87">
        <v>23</v>
      </c>
      <c r="G11" s="87">
        <v>23</v>
      </c>
      <c r="H11" s="87">
        <v>23</v>
      </c>
      <c r="I11" s="87">
        <v>24</v>
      </c>
      <c r="J11" s="87">
        <v>33</v>
      </c>
      <c r="K11" s="87">
        <v>33</v>
      </c>
      <c r="L11" s="87">
        <v>36</v>
      </c>
      <c r="M11" s="87">
        <v>32</v>
      </c>
      <c r="N11" s="87">
        <v>39</v>
      </c>
      <c r="O11" s="87">
        <v>41</v>
      </c>
      <c r="P11" s="87"/>
      <c r="Q11" s="105">
        <v>2015</v>
      </c>
      <c r="R11" s="332">
        <v>40</v>
      </c>
      <c r="S11" s="160">
        <f t="shared" si="0"/>
        <v>1.935483870967742</v>
      </c>
      <c r="T11" s="28"/>
      <c r="U11" s="8"/>
    </row>
    <row r="12" spans="1:22" s="45" customFormat="1" ht="24.75" customHeight="1">
      <c r="A12" s="141"/>
      <c r="B12" s="141" t="s">
        <v>584</v>
      </c>
      <c r="C12" s="141"/>
      <c r="D12" s="141"/>
      <c r="E12" s="141"/>
      <c r="F12" s="162">
        <v>12</v>
      </c>
      <c r="G12" s="162">
        <v>18</v>
      </c>
      <c r="H12" s="162">
        <v>11</v>
      </c>
      <c r="I12" s="162">
        <v>11</v>
      </c>
      <c r="J12" s="162">
        <v>11</v>
      </c>
      <c r="K12" s="162">
        <v>11</v>
      </c>
      <c r="L12" s="162">
        <v>11</v>
      </c>
      <c r="M12" s="162">
        <v>11</v>
      </c>
      <c r="N12" s="162">
        <v>11</v>
      </c>
      <c r="O12" s="162">
        <v>11</v>
      </c>
      <c r="P12" s="162"/>
      <c r="Q12" s="165">
        <v>708</v>
      </c>
      <c r="R12" s="162">
        <v>19</v>
      </c>
      <c r="S12" s="164">
        <f t="shared" si="0"/>
        <v>1.5536723163841808</v>
      </c>
      <c r="T12" s="233"/>
      <c r="U12" s="234"/>
      <c r="V12" s="235"/>
    </row>
    <row r="13" spans="1:21" ht="24.75" customHeight="1">
      <c r="A13" s="122" t="s">
        <v>435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4"/>
      <c r="O13" s="4"/>
      <c r="P13" s="82"/>
      <c r="Q13" s="82"/>
      <c r="R13" s="4"/>
      <c r="S13" s="82"/>
      <c r="T13" s="28"/>
      <c r="U13" s="8"/>
    </row>
    <row r="14" spans="1:20" ht="32.25" customHeight="1">
      <c r="A14" s="122"/>
      <c r="B14" s="476" t="s">
        <v>585</v>
      </c>
      <c r="C14" s="476"/>
      <c r="D14" s="476"/>
      <c r="E14" s="476"/>
      <c r="F14" s="115" t="s">
        <v>439</v>
      </c>
      <c r="G14" s="115" t="s">
        <v>439</v>
      </c>
      <c r="H14" s="114">
        <f>SUM(H15:H19)</f>
        <v>364921</v>
      </c>
      <c r="I14" s="115" t="s">
        <v>439</v>
      </c>
      <c r="J14" s="115" t="s">
        <v>439</v>
      </c>
      <c r="K14" s="114">
        <f>SUM(K15:K19)</f>
        <v>456563</v>
      </c>
      <c r="L14" s="115" t="s">
        <v>439</v>
      </c>
      <c r="M14" s="114">
        <f>SUM(M15:M19)</f>
        <v>533380</v>
      </c>
      <c r="N14" s="114">
        <f>SUM(N15:N19)</f>
        <v>535325</v>
      </c>
      <c r="O14" s="114">
        <f>SUM(O15:O19)</f>
        <v>535325</v>
      </c>
      <c r="P14" s="115"/>
      <c r="Q14" s="114">
        <v>4410199</v>
      </c>
      <c r="R14" s="114">
        <v>535580</v>
      </c>
      <c r="S14" s="160">
        <f>(N14/Q14)*100</f>
        <v>12.138341149685083</v>
      </c>
      <c r="T14" s="28"/>
    </row>
    <row r="15" spans="1:22" s="36" customFormat="1" ht="24.75" customHeight="1">
      <c r="A15" s="157"/>
      <c r="B15" s="85"/>
      <c r="C15" s="85" t="s">
        <v>436</v>
      </c>
      <c r="D15" s="85"/>
      <c r="E15" s="85"/>
      <c r="F15" s="119" t="s">
        <v>439</v>
      </c>
      <c r="G15" s="119" t="s">
        <v>439</v>
      </c>
      <c r="H15" s="118">
        <v>218</v>
      </c>
      <c r="I15" s="119" t="s">
        <v>439</v>
      </c>
      <c r="J15" s="119" t="s">
        <v>439</v>
      </c>
      <c r="K15" s="119">
        <v>199</v>
      </c>
      <c r="L15" s="119" t="s">
        <v>439</v>
      </c>
      <c r="M15" s="119">
        <v>230</v>
      </c>
      <c r="N15" s="119">
        <v>231</v>
      </c>
      <c r="O15" s="119">
        <v>231</v>
      </c>
      <c r="P15" s="119"/>
      <c r="Q15" s="118">
        <v>20290</v>
      </c>
      <c r="R15" s="119">
        <v>239</v>
      </c>
      <c r="S15" s="164">
        <f>(N15/Q15)*100</f>
        <v>1.1384918679152292</v>
      </c>
      <c r="T15" s="34"/>
      <c r="V15" s="47"/>
    </row>
    <row r="16" spans="1:22" s="36" customFormat="1" ht="24.75" customHeight="1">
      <c r="A16" s="122"/>
      <c r="B16" s="84"/>
      <c r="C16" s="84" t="s">
        <v>437</v>
      </c>
      <c r="D16" s="84"/>
      <c r="E16" s="84"/>
      <c r="F16" s="115" t="s">
        <v>439</v>
      </c>
      <c r="G16" s="115" t="s">
        <v>439</v>
      </c>
      <c r="H16" s="114">
        <v>36096</v>
      </c>
      <c r="I16" s="115" t="s">
        <v>439</v>
      </c>
      <c r="J16" s="115" t="s">
        <v>439</v>
      </c>
      <c r="K16" s="115">
        <v>49492</v>
      </c>
      <c r="L16" s="115" t="s">
        <v>439</v>
      </c>
      <c r="M16" s="115">
        <v>54195</v>
      </c>
      <c r="N16" s="115">
        <v>54591</v>
      </c>
      <c r="O16" s="115">
        <v>54591</v>
      </c>
      <c r="P16" s="115"/>
      <c r="Q16" s="114">
        <v>507122</v>
      </c>
      <c r="R16" s="115">
        <v>54912</v>
      </c>
      <c r="S16" s="160">
        <f>(N16/Q16)*100</f>
        <v>10.764865259247282</v>
      </c>
      <c r="T16" s="34"/>
      <c r="V16" s="47"/>
    </row>
    <row r="17" spans="1:22" s="36" customFormat="1" ht="24.75" customHeight="1">
      <c r="A17" s="157"/>
      <c r="B17" s="85"/>
      <c r="C17" s="85" t="s">
        <v>438</v>
      </c>
      <c r="D17" s="85"/>
      <c r="E17" s="85"/>
      <c r="F17" s="119" t="s">
        <v>439</v>
      </c>
      <c r="G17" s="119" t="s">
        <v>439</v>
      </c>
      <c r="H17" s="118">
        <v>210897</v>
      </c>
      <c r="I17" s="119" t="s">
        <v>439</v>
      </c>
      <c r="J17" s="119" t="s">
        <v>439</v>
      </c>
      <c r="K17" s="119">
        <v>250351</v>
      </c>
      <c r="L17" s="119" t="s">
        <v>439</v>
      </c>
      <c r="M17" s="119">
        <v>277577</v>
      </c>
      <c r="N17" s="119">
        <v>278325</v>
      </c>
      <c r="O17" s="119">
        <v>278325</v>
      </c>
      <c r="P17" s="119"/>
      <c r="Q17" s="118">
        <v>2058228</v>
      </c>
      <c r="R17" s="119">
        <v>278891</v>
      </c>
      <c r="S17" s="164">
        <f>(N17/Q17)*100</f>
        <v>13.522554352579014</v>
      </c>
      <c r="T17" s="34"/>
      <c r="V17" s="47"/>
    </row>
    <row r="18" spans="1:22" s="36" customFormat="1" ht="24.75" customHeight="1">
      <c r="A18" s="82"/>
      <c r="B18" s="82"/>
      <c r="C18" s="82" t="s">
        <v>412</v>
      </c>
      <c r="D18" s="82"/>
      <c r="E18" s="82"/>
      <c r="F18" s="115" t="s">
        <v>439</v>
      </c>
      <c r="G18" s="115" t="s">
        <v>439</v>
      </c>
      <c r="H18" s="166">
        <v>117710</v>
      </c>
      <c r="I18" s="115" t="s">
        <v>439</v>
      </c>
      <c r="J18" s="115" t="s">
        <v>439</v>
      </c>
      <c r="K18" s="166">
        <v>156521</v>
      </c>
      <c r="L18" s="115" t="s">
        <v>439</v>
      </c>
      <c r="M18" s="166">
        <v>193854</v>
      </c>
      <c r="N18" s="166">
        <v>195034</v>
      </c>
      <c r="O18" s="166">
        <v>200447</v>
      </c>
      <c r="P18" s="166"/>
      <c r="Q18" s="166">
        <v>1824559</v>
      </c>
      <c r="R18" s="166">
        <v>201538</v>
      </c>
      <c r="S18" s="160">
        <f>(N18/Q18)*100</f>
        <v>10.689377542737724</v>
      </c>
      <c r="T18" s="34"/>
      <c r="V18" s="47"/>
    </row>
    <row r="19" spans="1:22" s="36" customFormat="1" ht="24.75" customHeight="1">
      <c r="A19" s="157"/>
      <c r="B19" s="85"/>
      <c r="C19" s="85" t="s">
        <v>84</v>
      </c>
      <c r="D19" s="85"/>
      <c r="E19" s="85"/>
      <c r="F19" s="119" t="s">
        <v>439</v>
      </c>
      <c r="G19" s="119" t="s">
        <v>439</v>
      </c>
      <c r="H19" s="118" t="s">
        <v>54</v>
      </c>
      <c r="I19" s="119" t="s">
        <v>439</v>
      </c>
      <c r="J19" s="119" t="s">
        <v>439</v>
      </c>
      <c r="K19" s="119" t="s">
        <v>54</v>
      </c>
      <c r="L19" s="119" t="s">
        <v>439</v>
      </c>
      <c r="M19" s="119">
        <v>7524</v>
      </c>
      <c r="N19" s="119">
        <v>7144</v>
      </c>
      <c r="O19" s="119">
        <v>1731</v>
      </c>
      <c r="P19" s="119"/>
      <c r="Q19" s="118">
        <v>0</v>
      </c>
      <c r="R19" s="119">
        <v>0</v>
      </c>
      <c r="S19" s="164">
        <v>0</v>
      </c>
      <c r="T19" s="34"/>
      <c r="V19" s="47"/>
    </row>
    <row r="20" spans="1:22" s="36" customFormat="1" ht="24.75" customHeight="1">
      <c r="A20" s="241"/>
      <c r="B20" s="242"/>
      <c r="C20" s="242"/>
      <c r="D20" s="242"/>
      <c r="E20" s="242"/>
      <c r="F20" s="241"/>
      <c r="G20" s="243"/>
      <c r="H20" s="243"/>
      <c r="I20" s="241"/>
      <c r="J20" s="241"/>
      <c r="K20" s="241"/>
      <c r="L20" s="241"/>
      <c r="M20" s="241"/>
      <c r="N20" s="241"/>
      <c r="O20" s="241"/>
      <c r="P20" s="241"/>
      <c r="Q20" s="243"/>
      <c r="R20" s="243"/>
      <c r="S20" s="241"/>
      <c r="T20" s="34"/>
      <c r="V20" s="47"/>
    </row>
    <row r="21" spans="1:22" s="36" customFormat="1" ht="24.75" customHeight="1">
      <c r="A21" s="82" t="s">
        <v>7</v>
      </c>
      <c r="B21" s="75" t="s">
        <v>61</v>
      </c>
      <c r="C21" s="75"/>
      <c r="D21" s="75"/>
      <c r="E21" s="75"/>
      <c r="F21" s="84"/>
      <c r="G21" s="95"/>
      <c r="H21" s="95"/>
      <c r="I21" s="84"/>
      <c r="J21" s="84"/>
      <c r="K21" s="84"/>
      <c r="L21" s="84"/>
      <c r="M21" s="84"/>
      <c r="N21" s="84"/>
      <c r="O21" s="84"/>
      <c r="P21" s="84"/>
      <c r="Q21" s="95"/>
      <c r="R21" s="95"/>
      <c r="S21" s="84"/>
      <c r="T21" s="34"/>
      <c r="V21" s="47"/>
    </row>
    <row r="22" spans="1:22" s="36" customFormat="1" ht="24.75" customHeight="1">
      <c r="A22" s="82" t="s">
        <v>42</v>
      </c>
      <c r="B22" s="74" t="s">
        <v>462</v>
      </c>
      <c r="C22" s="75"/>
      <c r="D22" s="75"/>
      <c r="E22" s="75"/>
      <c r="F22" s="84"/>
      <c r="G22" s="95"/>
      <c r="H22" s="95"/>
      <c r="I22" s="84"/>
      <c r="J22" s="84"/>
      <c r="K22" s="84"/>
      <c r="L22" s="84"/>
      <c r="M22" s="84"/>
      <c r="N22" s="84"/>
      <c r="O22" s="84"/>
      <c r="P22" s="84"/>
      <c r="Q22" s="95"/>
      <c r="R22" s="95"/>
      <c r="S22" s="84"/>
      <c r="T22" s="34"/>
      <c r="V22" s="47"/>
    </row>
    <row r="23" spans="1:22" s="36" customFormat="1" ht="24.75" customHeight="1">
      <c r="A23" s="82" t="s">
        <v>43</v>
      </c>
      <c r="B23" s="74" t="s">
        <v>453</v>
      </c>
      <c r="C23" s="75"/>
      <c r="D23" s="75"/>
      <c r="E23" s="75"/>
      <c r="F23" s="84"/>
      <c r="G23" s="95"/>
      <c r="H23" s="95"/>
      <c r="I23" s="84"/>
      <c r="J23" s="84"/>
      <c r="K23" s="84"/>
      <c r="L23" s="84"/>
      <c r="M23" s="84"/>
      <c r="N23" s="84"/>
      <c r="O23" s="84"/>
      <c r="P23" s="84"/>
      <c r="Q23" s="95"/>
      <c r="R23" s="95"/>
      <c r="S23" s="84"/>
      <c r="T23" s="34"/>
      <c r="V23" s="47"/>
    </row>
    <row r="24" spans="1:22" s="36" customFormat="1" ht="24.75" customHeight="1">
      <c r="A24" s="82" t="s">
        <v>44</v>
      </c>
      <c r="B24" s="74" t="s">
        <v>678</v>
      </c>
      <c r="C24" s="75"/>
      <c r="D24" s="75"/>
      <c r="E24" s="75"/>
      <c r="F24" s="84"/>
      <c r="G24" s="95"/>
      <c r="H24" s="95"/>
      <c r="I24" s="84"/>
      <c r="J24" s="84"/>
      <c r="K24" s="84"/>
      <c r="L24" s="84"/>
      <c r="M24" s="84"/>
      <c r="N24" s="84"/>
      <c r="O24" s="84"/>
      <c r="P24" s="84"/>
      <c r="Q24" s="95"/>
      <c r="R24" s="95"/>
      <c r="S24" s="84"/>
      <c r="T24" s="34"/>
      <c r="V24" s="47"/>
    </row>
    <row r="25" spans="1:22" s="36" customFormat="1" ht="24.75" customHeight="1">
      <c r="A25" s="359" t="s">
        <v>24</v>
      </c>
      <c r="B25" s="466" t="s">
        <v>569</v>
      </c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34"/>
      <c r="V25" s="47"/>
    </row>
    <row r="26" spans="1:22" s="36" customFormat="1" ht="24.75" customHeight="1">
      <c r="A26" s="82" t="s">
        <v>9</v>
      </c>
      <c r="B26" s="75" t="s">
        <v>291</v>
      </c>
      <c r="C26" s="75"/>
      <c r="D26" s="75"/>
      <c r="E26" s="75"/>
      <c r="F26" s="84"/>
      <c r="G26" s="95"/>
      <c r="H26" s="95"/>
      <c r="I26" s="84"/>
      <c r="J26" s="84"/>
      <c r="K26" s="84"/>
      <c r="L26" s="84"/>
      <c r="M26" s="84"/>
      <c r="N26" s="84"/>
      <c r="O26" s="84"/>
      <c r="P26" s="84"/>
      <c r="Q26" s="95"/>
      <c r="R26" s="95"/>
      <c r="S26" s="84"/>
      <c r="T26" s="34"/>
      <c r="V26" s="47"/>
    </row>
    <row r="27" spans="1:22" s="36" customFormat="1" ht="24.75" customHeight="1">
      <c r="A27" s="82" t="s">
        <v>10</v>
      </c>
      <c r="B27" s="75" t="s">
        <v>474</v>
      </c>
      <c r="C27" s="75"/>
      <c r="D27" s="75"/>
      <c r="E27" s="75"/>
      <c r="F27" s="84"/>
      <c r="G27" s="95"/>
      <c r="H27" s="95"/>
      <c r="I27" s="84"/>
      <c r="J27" s="84"/>
      <c r="K27" s="84"/>
      <c r="L27" s="84"/>
      <c r="M27" s="84"/>
      <c r="N27" s="84"/>
      <c r="O27" s="84"/>
      <c r="P27" s="84"/>
      <c r="Q27" s="95"/>
      <c r="R27" s="95"/>
      <c r="S27" s="84"/>
      <c r="T27" s="34"/>
      <c r="U27" s="304"/>
      <c r="V27" s="47"/>
    </row>
    <row r="28" spans="1:22" s="36" customFormat="1" ht="24.75" customHeight="1">
      <c r="A28" s="82" t="s">
        <v>11</v>
      </c>
      <c r="B28" s="75" t="s">
        <v>570</v>
      </c>
      <c r="C28" s="75"/>
      <c r="D28" s="75"/>
      <c r="E28" s="75"/>
      <c r="F28" s="84"/>
      <c r="G28" s="95"/>
      <c r="H28" s="95"/>
      <c r="I28" s="84"/>
      <c r="J28" s="84"/>
      <c r="K28" s="84"/>
      <c r="L28" s="84"/>
      <c r="M28" s="84"/>
      <c r="N28" s="84"/>
      <c r="O28" s="84"/>
      <c r="P28" s="84"/>
      <c r="Q28" s="95"/>
      <c r="R28" s="95"/>
      <c r="S28" s="84"/>
      <c r="T28" s="34"/>
      <c r="U28" s="304"/>
      <c r="V28" s="47"/>
    </row>
    <row r="29" spans="1:22" s="36" customFormat="1" ht="24.75" customHeight="1">
      <c r="A29" s="82" t="s">
        <v>12</v>
      </c>
      <c r="B29" s="82" t="s">
        <v>454</v>
      </c>
      <c r="C29" s="75"/>
      <c r="D29" s="75"/>
      <c r="E29" s="75"/>
      <c r="F29" s="84"/>
      <c r="G29" s="95"/>
      <c r="H29" s="95"/>
      <c r="I29" s="84"/>
      <c r="J29" s="84"/>
      <c r="K29" s="84"/>
      <c r="L29" s="84"/>
      <c r="M29" s="84"/>
      <c r="N29" s="84"/>
      <c r="O29" s="84"/>
      <c r="P29" s="84"/>
      <c r="Q29" s="95"/>
      <c r="R29" s="95"/>
      <c r="S29" s="84"/>
      <c r="T29" s="34"/>
      <c r="V29" s="47"/>
    </row>
    <row r="30" spans="1:22" s="36" customFormat="1" ht="24.75" customHeight="1">
      <c r="A30" s="82" t="s">
        <v>13</v>
      </c>
      <c r="B30" s="75" t="s">
        <v>481</v>
      </c>
      <c r="C30" s="75"/>
      <c r="D30" s="75"/>
      <c r="E30" s="75"/>
      <c r="F30" s="84"/>
      <c r="G30" s="95"/>
      <c r="H30" s="95"/>
      <c r="I30" s="84"/>
      <c r="J30" s="84"/>
      <c r="K30" s="84"/>
      <c r="L30" s="84"/>
      <c r="M30" s="84"/>
      <c r="N30" s="84"/>
      <c r="O30" s="84"/>
      <c r="P30" s="84"/>
      <c r="Q30" s="95"/>
      <c r="R30" s="95"/>
      <c r="S30" s="84"/>
      <c r="T30" s="34"/>
      <c r="V30" s="47"/>
    </row>
    <row r="31" spans="1:19" ht="24.75" customHeight="1">
      <c r="A31" s="82" t="s">
        <v>27</v>
      </c>
      <c r="B31" s="84" t="s">
        <v>498</v>
      </c>
      <c r="C31" s="75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</row>
    <row r="32" spans="1:22" s="36" customFormat="1" ht="24.75" customHeight="1">
      <c r="A32" s="82" t="s">
        <v>14</v>
      </c>
      <c r="B32" s="75" t="s">
        <v>461</v>
      </c>
      <c r="C32" s="75"/>
      <c r="D32" s="75"/>
      <c r="E32" s="75"/>
      <c r="F32" s="84"/>
      <c r="G32" s="95"/>
      <c r="H32" s="95"/>
      <c r="I32" s="84"/>
      <c r="J32" s="84"/>
      <c r="K32" s="84"/>
      <c r="L32" s="84"/>
      <c r="M32" s="84"/>
      <c r="N32" s="84"/>
      <c r="O32" s="84"/>
      <c r="P32" s="84"/>
      <c r="Q32" s="95"/>
      <c r="R32" s="95"/>
      <c r="S32" s="84"/>
      <c r="T32" s="34"/>
      <c r="V32" s="47"/>
    </row>
    <row r="33" spans="1:22" s="36" customFormat="1" ht="24.75" customHeight="1">
      <c r="A33" s="82" t="s">
        <v>15</v>
      </c>
      <c r="B33" s="84" t="s">
        <v>2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49"/>
      <c r="Q33" s="149"/>
      <c r="R33" s="149"/>
      <c r="S33" s="149"/>
      <c r="T33" s="34"/>
      <c r="V33" s="47"/>
    </row>
    <row r="34" spans="1:22" s="36" customFormat="1" ht="24.75" customHeight="1">
      <c r="A34" s="82" t="s">
        <v>16</v>
      </c>
      <c r="B34" s="75" t="s">
        <v>399</v>
      </c>
      <c r="C34" s="75"/>
      <c r="D34" s="75"/>
      <c r="E34" s="75"/>
      <c r="F34" s="84"/>
      <c r="G34" s="95"/>
      <c r="H34" s="95"/>
      <c r="I34" s="84"/>
      <c r="J34" s="84"/>
      <c r="K34" s="84"/>
      <c r="L34" s="84"/>
      <c r="M34" s="84"/>
      <c r="N34" s="84"/>
      <c r="O34" s="84"/>
      <c r="P34" s="84"/>
      <c r="Q34" s="95"/>
      <c r="R34" s="95"/>
      <c r="S34" s="84"/>
      <c r="T34" s="54"/>
      <c r="V34" s="47"/>
    </row>
    <row r="35" spans="1:22" s="36" customFormat="1" ht="24.75" customHeight="1">
      <c r="A35" s="82" t="s">
        <v>17</v>
      </c>
      <c r="B35" s="75" t="s">
        <v>602</v>
      </c>
      <c r="C35" s="75"/>
      <c r="D35" s="75"/>
      <c r="E35" s="75"/>
      <c r="F35" s="84"/>
      <c r="G35" s="95"/>
      <c r="H35" s="95"/>
      <c r="I35" s="84"/>
      <c r="J35" s="84"/>
      <c r="K35" s="84"/>
      <c r="L35" s="84"/>
      <c r="M35" s="84"/>
      <c r="N35" s="84"/>
      <c r="O35" s="84"/>
      <c r="P35" s="84"/>
      <c r="Q35" s="95"/>
      <c r="R35" s="95"/>
      <c r="S35" s="84"/>
      <c r="T35" s="54"/>
      <c r="V35" s="47"/>
    </row>
    <row r="36" spans="1:22" s="36" customFormat="1" ht="24.75" customHeight="1">
      <c r="A36" s="82" t="s">
        <v>45</v>
      </c>
      <c r="B36" s="82" t="s">
        <v>292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54"/>
      <c r="V36" s="47"/>
    </row>
    <row r="37" spans="1:22" s="36" customFormat="1" ht="16.5" customHeight="1">
      <c r="A37" s="82" t="s">
        <v>57</v>
      </c>
      <c r="B37" s="84" t="s">
        <v>603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75"/>
      <c r="Q37" s="75"/>
      <c r="R37" s="75"/>
      <c r="S37" s="75"/>
      <c r="T37" s="54"/>
      <c r="V37" s="47"/>
    </row>
    <row r="38" spans="1:20" ht="24.75" customHeight="1">
      <c r="A38" s="82" t="s">
        <v>59</v>
      </c>
      <c r="B38" s="84" t="s">
        <v>604</v>
      </c>
      <c r="C38" s="75"/>
      <c r="D38" s="75"/>
      <c r="E38" s="75"/>
      <c r="F38" s="84"/>
      <c r="G38" s="95"/>
      <c r="H38" s="95"/>
      <c r="I38" s="84"/>
      <c r="J38" s="84"/>
      <c r="K38" s="84"/>
      <c r="L38" s="84"/>
      <c r="M38" s="84"/>
      <c r="N38" s="84"/>
      <c r="O38" s="84"/>
      <c r="P38" s="84"/>
      <c r="Q38" s="95"/>
      <c r="R38" s="95"/>
      <c r="S38" s="84"/>
      <c r="T38" s="10"/>
    </row>
    <row r="39" spans="1:19" ht="24.75" customHeight="1">
      <c r="A39" s="82" t="s">
        <v>434</v>
      </c>
      <c r="B39" s="75" t="s">
        <v>605</v>
      </c>
      <c r="C39" s="75"/>
      <c r="D39" s="75"/>
      <c r="E39" s="75"/>
      <c r="F39" s="84"/>
      <c r="G39" s="95"/>
      <c r="H39" s="95"/>
      <c r="I39" s="84"/>
      <c r="J39" s="84"/>
      <c r="K39" s="84"/>
      <c r="L39" s="84"/>
      <c r="M39" s="84"/>
      <c r="N39" s="84"/>
      <c r="O39" s="84"/>
      <c r="P39" s="84"/>
      <c r="Q39" s="95"/>
      <c r="R39" s="95"/>
      <c r="S39" s="84"/>
    </row>
    <row r="40" spans="1:19" ht="24.75" customHeight="1">
      <c r="A40" s="82" t="s">
        <v>452</v>
      </c>
      <c r="B40" s="75" t="s">
        <v>384</v>
      </c>
      <c r="C40" s="75"/>
      <c r="D40" s="75"/>
      <c r="E40" s="75"/>
      <c r="F40" s="84"/>
      <c r="G40" s="95"/>
      <c r="H40" s="95"/>
      <c r="I40" s="84"/>
      <c r="J40" s="84"/>
      <c r="K40" s="84"/>
      <c r="L40" s="84"/>
      <c r="M40" s="84"/>
      <c r="N40" s="84"/>
      <c r="O40" s="84"/>
      <c r="P40" s="84"/>
      <c r="Q40" s="95"/>
      <c r="R40" s="95"/>
      <c r="S40" s="84"/>
    </row>
    <row r="41" spans="1:19" ht="24.75" customHeight="1">
      <c r="A41" s="82" t="s">
        <v>497</v>
      </c>
      <c r="B41" s="84" t="s">
        <v>385</v>
      </c>
      <c r="C41" s="75"/>
      <c r="D41" s="75"/>
      <c r="E41" s="75"/>
      <c r="F41" s="84"/>
      <c r="G41" s="95"/>
      <c r="H41" s="95"/>
      <c r="I41" s="84"/>
      <c r="J41" s="84"/>
      <c r="K41" s="84"/>
      <c r="L41" s="84"/>
      <c r="M41" s="84"/>
      <c r="N41" s="84"/>
      <c r="O41" s="84"/>
      <c r="P41" s="84"/>
      <c r="Q41" s="95"/>
      <c r="R41" s="95"/>
      <c r="S41" s="84"/>
    </row>
    <row r="42" spans="1:19" ht="24.75" customHeight="1">
      <c r="A42" s="82" t="s">
        <v>571</v>
      </c>
      <c r="B42" s="84" t="s">
        <v>46</v>
      </c>
      <c r="C42" s="75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</row>
    <row r="43" spans="1:19" ht="24.75" customHeight="1">
      <c r="A43" s="82" t="s">
        <v>572</v>
      </c>
      <c r="B43" s="84" t="s">
        <v>670</v>
      </c>
      <c r="C43" s="75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</row>
    <row r="44" spans="1:19" ht="24.75" customHeight="1">
      <c r="A44" s="475" t="s">
        <v>599</v>
      </c>
      <c r="B44" s="475"/>
      <c r="C44" s="475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S44" s="475"/>
    </row>
    <row r="45" spans="1:19" ht="15" customHeight="1">
      <c r="A45" s="167"/>
      <c r="B45" s="167"/>
      <c r="C45" s="167"/>
      <c r="D45" s="167"/>
      <c r="E45" s="167"/>
      <c r="F45" s="167"/>
      <c r="G45" s="238"/>
      <c r="H45" s="238"/>
      <c r="I45" s="168"/>
      <c r="J45" s="168"/>
      <c r="K45" s="168"/>
      <c r="L45" s="168"/>
      <c r="M45" s="168"/>
      <c r="N45" s="168"/>
      <c r="O45" s="168"/>
      <c r="P45" s="168"/>
      <c r="Q45" s="238"/>
      <c r="R45" s="238"/>
      <c r="S45" s="167"/>
    </row>
    <row r="46" spans="1:19" ht="15" customHeight="1">
      <c r="A46" s="167"/>
      <c r="B46" s="167"/>
      <c r="C46" s="167"/>
      <c r="D46" s="167"/>
      <c r="E46" s="167"/>
      <c r="F46" s="167"/>
      <c r="G46" s="238"/>
      <c r="H46" s="238"/>
      <c r="I46" s="168"/>
      <c r="J46" s="168"/>
      <c r="K46" s="168"/>
      <c r="L46" s="168"/>
      <c r="M46" s="168"/>
      <c r="N46" s="168"/>
      <c r="O46" s="168"/>
      <c r="P46" s="168"/>
      <c r="Q46" s="238"/>
      <c r="R46" s="238"/>
      <c r="S46" s="167"/>
    </row>
    <row r="47" spans="1:19" ht="15" customHeight="1">
      <c r="A47" s="8"/>
      <c r="B47" s="8"/>
      <c r="C47" s="8"/>
      <c r="D47" s="8"/>
      <c r="E47" s="8"/>
      <c r="F47" s="8"/>
      <c r="G47" s="239"/>
      <c r="H47" s="239"/>
      <c r="I47" s="2"/>
      <c r="J47" s="2"/>
      <c r="K47" s="2"/>
      <c r="L47" s="2"/>
      <c r="M47" s="2"/>
      <c r="N47" s="2"/>
      <c r="O47" s="2"/>
      <c r="P47" s="2"/>
      <c r="Q47" s="239"/>
      <c r="R47" s="239"/>
      <c r="S47" s="8"/>
    </row>
    <row r="48" spans="1:19" ht="15" customHeight="1">
      <c r="A48" s="8"/>
      <c r="B48" s="8"/>
      <c r="C48" s="8"/>
      <c r="D48" s="8"/>
      <c r="E48" s="8"/>
      <c r="F48" s="8"/>
      <c r="G48" s="239"/>
      <c r="H48" s="239"/>
      <c r="I48" s="2"/>
      <c r="J48" s="2"/>
      <c r="K48" s="2"/>
      <c r="L48" s="2"/>
      <c r="M48" s="2"/>
      <c r="N48" s="2"/>
      <c r="O48" s="2"/>
      <c r="P48" s="2"/>
      <c r="Q48" s="239"/>
      <c r="R48" s="239"/>
      <c r="S48" s="8"/>
    </row>
    <row r="49" spans="1:19" ht="15" customHeight="1">
      <c r="A49" s="8"/>
      <c r="B49" s="8"/>
      <c r="C49" s="8"/>
      <c r="D49" s="8"/>
      <c r="E49" s="8"/>
      <c r="F49" s="8"/>
      <c r="G49" s="239"/>
      <c r="H49" s="239"/>
      <c r="I49" s="2"/>
      <c r="J49" s="2"/>
      <c r="K49" s="2"/>
      <c r="L49" s="2"/>
      <c r="M49" s="2"/>
      <c r="N49" s="2"/>
      <c r="O49" s="2"/>
      <c r="P49" s="2"/>
      <c r="Q49" s="239"/>
      <c r="R49" s="239"/>
      <c r="S49" s="8"/>
    </row>
    <row r="50" spans="1:19" ht="15" customHeight="1">
      <c r="A50" s="8"/>
      <c r="B50" s="8"/>
      <c r="C50" s="8"/>
      <c r="D50" s="8"/>
      <c r="E50" s="8"/>
      <c r="F50" s="8"/>
      <c r="G50" s="239"/>
      <c r="H50" s="239"/>
      <c r="I50" s="2"/>
      <c r="J50" s="2"/>
      <c r="K50" s="2"/>
      <c r="L50" s="2"/>
      <c r="M50" s="2"/>
      <c r="N50" s="2"/>
      <c r="O50" s="2"/>
      <c r="P50" s="2"/>
      <c r="Q50" s="239"/>
      <c r="R50" s="239"/>
      <c r="S50" s="8"/>
    </row>
    <row r="51" spans="1:19" ht="15" customHeight="1">
      <c r="A51" s="8"/>
      <c r="B51" s="8"/>
      <c r="C51" s="8"/>
      <c r="D51" s="8"/>
      <c r="E51" s="8"/>
      <c r="F51" s="8"/>
      <c r="G51" s="239"/>
      <c r="H51" s="239"/>
      <c r="I51" s="2"/>
      <c r="J51" s="2"/>
      <c r="K51" s="2"/>
      <c r="L51" s="2"/>
      <c r="M51" s="2"/>
      <c r="N51" s="2"/>
      <c r="O51" s="2"/>
      <c r="P51" s="2"/>
      <c r="Q51" s="239"/>
      <c r="R51" s="239"/>
      <c r="S51" s="8"/>
    </row>
    <row r="52" spans="1:19" ht="15" customHeight="1">
      <c r="A52" s="8"/>
      <c r="B52" s="8"/>
      <c r="C52" s="8"/>
      <c r="D52" s="8"/>
      <c r="E52" s="8"/>
      <c r="F52" s="8"/>
      <c r="G52" s="239"/>
      <c r="H52" s="239"/>
      <c r="I52" s="2"/>
      <c r="J52" s="2"/>
      <c r="K52" s="2"/>
      <c r="L52" s="2"/>
      <c r="M52" s="2"/>
      <c r="N52" s="2"/>
      <c r="O52" s="2"/>
      <c r="P52" s="2"/>
      <c r="Q52" s="239"/>
      <c r="R52" s="239"/>
      <c r="S52" s="8"/>
    </row>
    <row r="53" spans="1:19" ht="15" customHeight="1">
      <c r="A53" s="8"/>
      <c r="B53" s="8"/>
      <c r="C53" s="8"/>
      <c r="D53" s="8"/>
      <c r="E53" s="8"/>
      <c r="F53" s="8"/>
      <c r="G53" s="239"/>
      <c r="H53" s="239"/>
      <c r="I53" s="2"/>
      <c r="J53" s="2"/>
      <c r="K53" s="2"/>
      <c r="L53" s="2"/>
      <c r="M53" s="2"/>
      <c r="N53" s="2"/>
      <c r="O53" s="2"/>
      <c r="P53" s="2"/>
      <c r="Q53" s="239"/>
      <c r="R53" s="239"/>
      <c r="S53" s="8"/>
    </row>
    <row r="54" spans="1:19" ht="15" customHeight="1">
      <c r="A54" s="8"/>
      <c r="B54" s="8"/>
      <c r="C54" s="8"/>
      <c r="D54" s="8"/>
      <c r="E54" s="8"/>
      <c r="F54" s="8"/>
      <c r="G54" s="239"/>
      <c r="H54" s="239"/>
      <c r="I54" s="2"/>
      <c r="J54" s="2"/>
      <c r="K54" s="2"/>
      <c r="L54" s="2"/>
      <c r="M54" s="2"/>
      <c r="N54" s="2"/>
      <c r="O54" s="2"/>
      <c r="P54" s="2"/>
      <c r="Q54" s="239"/>
      <c r="R54" s="239"/>
      <c r="S54" s="8"/>
    </row>
    <row r="55" spans="1:19" ht="15" customHeight="1">
      <c r="A55" s="8"/>
      <c r="B55" s="8"/>
      <c r="C55" s="8"/>
      <c r="D55" s="8"/>
      <c r="E55" s="8"/>
      <c r="F55" s="8"/>
      <c r="G55" s="239"/>
      <c r="H55" s="239"/>
      <c r="I55" s="2"/>
      <c r="J55" s="2"/>
      <c r="K55" s="2"/>
      <c r="L55" s="2"/>
      <c r="M55" s="2"/>
      <c r="N55" s="2"/>
      <c r="O55" s="2"/>
      <c r="P55" s="2"/>
      <c r="Q55" s="239"/>
      <c r="R55" s="239"/>
      <c r="S55" s="8"/>
    </row>
    <row r="56" spans="1:19" ht="15" customHeight="1">
      <c r="A56" s="8"/>
      <c r="B56" s="8"/>
      <c r="C56" s="8"/>
      <c r="D56" s="8"/>
      <c r="E56" s="8"/>
      <c r="F56" s="8"/>
      <c r="G56" s="239"/>
      <c r="H56" s="239"/>
      <c r="I56" s="2"/>
      <c r="J56" s="2"/>
      <c r="K56" s="2"/>
      <c r="L56" s="2"/>
      <c r="M56" s="2"/>
      <c r="N56" s="2"/>
      <c r="O56" s="2"/>
      <c r="P56" s="2"/>
      <c r="Q56" s="239"/>
      <c r="R56" s="239"/>
      <c r="S56" s="8"/>
    </row>
    <row r="57" spans="1:19" ht="15" customHeight="1">
      <c r="A57" s="8"/>
      <c r="B57" s="8"/>
      <c r="C57" s="8"/>
      <c r="D57" s="8"/>
      <c r="E57" s="8"/>
      <c r="F57" s="8"/>
      <c r="G57" s="239"/>
      <c r="H57" s="239"/>
      <c r="I57" s="2"/>
      <c r="J57" s="2"/>
      <c r="K57" s="2"/>
      <c r="L57" s="2"/>
      <c r="M57" s="2"/>
      <c r="N57" s="2"/>
      <c r="O57" s="2"/>
      <c r="P57" s="2"/>
      <c r="Q57" s="239"/>
      <c r="R57" s="239"/>
      <c r="S57" s="8"/>
    </row>
    <row r="58" spans="1:19" ht="15" customHeight="1">
      <c r="A58" s="8"/>
      <c r="B58" s="8"/>
      <c r="C58" s="8"/>
      <c r="D58" s="8"/>
      <c r="E58" s="8"/>
      <c r="F58" s="8"/>
      <c r="G58" s="239"/>
      <c r="H58" s="239"/>
      <c r="I58" s="2"/>
      <c r="J58" s="2"/>
      <c r="K58" s="2"/>
      <c r="L58" s="2"/>
      <c r="M58" s="2"/>
      <c r="N58" s="2"/>
      <c r="O58" s="2"/>
      <c r="P58" s="2"/>
      <c r="Q58" s="239"/>
      <c r="R58" s="239"/>
      <c r="S58" s="8"/>
    </row>
    <row r="59" spans="1:19" ht="15" customHeight="1">
      <c r="A59" s="8"/>
      <c r="B59" s="8"/>
      <c r="C59" s="8"/>
      <c r="D59" s="8"/>
      <c r="E59" s="8"/>
      <c r="F59" s="8"/>
      <c r="G59" s="239"/>
      <c r="H59" s="239"/>
      <c r="I59" s="2"/>
      <c r="J59" s="2"/>
      <c r="K59" s="2"/>
      <c r="L59" s="2"/>
      <c r="M59" s="2"/>
      <c r="N59" s="2"/>
      <c r="O59" s="2"/>
      <c r="P59" s="2"/>
      <c r="Q59" s="239"/>
      <c r="R59" s="239"/>
      <c r="S59" s="8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90" spans="1:19" ht="18">
      <c r="A90" s="464"/>
      <c r="B90" s="464"/>
      <c r="C90" s="464"/>
      <c r="D90" s="464"/>
      <c r="E90" s="464"/>
      <c r="F90" s="464"/>
      <c r="G90" s="464"/>
      <c r="H90" s="464"/>
      <c r="I90" s="464"/>
      <c r="J90" s="464"/>
      <c r="K90" s="464"/>
      <c r="L90" s="464"/>
      <c r="M90" s="464"/>
      <c r="N90" s="464"/>
      <c r="O90" s="464"/>
      <c r="P90" s="464"/>
      <c r="Q90" s="464"/>
      <c r="R90" s="464"/>
      <c r="S90" s="464"/>
    </row>
  </sheetData>
  <sheetProtection/>
  <mergeCells count="17">
    <mergeCell ref="K4:K5"/>
    <mergeCell ref="L4:L5"/>
    <mergeCell ref="M4:M5"/>
    <mergeCell ref="B25:S25"/>
    <mergeCell ref="N4:N5"/>
    <mergeCell ref="O4:O5"/>
    <mergeCell ref="B14:E14"/>
    <mergeCell ref="A90:S90"/>
    <mergeCell ref="Q4:S4"/>
    <mergeCell ref="A44:S44"/>
    <mergeCell ref="R1:S1"/>
    <mergeCell ref="A4:E5"/>
    <mergeCell ref="F4:F5"/>
    <mergeCell ref="G4:G5"/>
    <mergeCell ref="H4:H5"/>
    <mergeCell ref="I4:I5"/>
    <mergeCell ref="J4:J5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scale="43" r:id="rId2"/>
  <headerFooter alignWithMargins="0">
    <oddHeader>&amp;C
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theme="9" tint="-0.24997000396251678"/>
  </sheetPr>
  <dimension ref="A1:X65"/>
  <sheetViews>
    <sheetView showGridLines="0" view="pageBreakPreview" zoomScale="77" zoomScaleNormal="75" zoomScaleSheetLayoutView="77" zoomScalePageLayoutView="0" workbookViewId="0" topLeftCell="A1">
      <selection activeCell="A1" sqref="A1"/>
    </sheetView>
  </sheetViews>
  <sheetFormatPr defaultColWidth="9.77734375" defaultRowHeight="15.75"/>
  <cols>
    <col min="1" max="4" width="2.77734375" style="4" customWidth="1"/>
    <col min="5" max="5" width="24.77734375" style="4" customWidth="1"/>
    <col min="6" max="8" width="13.77734375" style="9" customWidth="1"/>
    <col min="9" max="14" width="13.77734375" style="10" customWidth="1"/>
    <col min="15" max="15" width="14.3359375" style="10" customWidth="1"/>
    <col min="16" max="16" width="13.77734375" style="10" customWidth="1"/>
    <col min="17" max="17" width="11.88671875" style="19" customWidth="1"/>
    <col min="18" max="18" width="11.77734375" style="4" customWidth="1"/>
    <col min="19" max="19" width="6.77734375" style="4" customWidth="1"/>
    <col min="20" max="21" width="9.77734375" style="4" customWidth="1"/>
    <col min="22" max="22" width="12.77734375" style="4" customWidth="1"/>
    <col min="23" max="29" width="9.77734375" style="4" customWidth="1"/>
    <col min="30" max="31" width="5.77734375" style="4" customWidth="1"/>
    <col min="32" max="34" width="9.77734375" style="4" customWidth="1"/>
    <col min="35" max="35" width="12.77734375" style="4" customWidth="1"/>
    <col min="36" max="16384" width="9.77734375" style="4" customWidth="1"/>
  </cols>
  <sheetData>
    <row r="1" spans="1:24" ht="24.75" customHeight="1">
      <c r="A1" s="170" t="s">
        <v>122</v>
      </c>
      <c r="B1" s="129"/>
      <c r="C1" s="129"/>
      <c r="D1" s="129"/>
      <c r="E1" s="129"/>
      <c r="F1" s="129"/>
      <c r="G1" s="129"/>
      <c r="H1" s="29"/>
      <c r="I1" s="469" t="s">
        <v>124</v>
      </c>
      <c r="J1" s="469"/>
      <c r="K1" s="469"/>
      <c r="L1" s="469"/>
      <c r="M1" s="469"/>
      <c r="N1" s="469"/>
      <c r="O1" s="469"/>
      <c r="P1" s="469"/>
      <c r="Q1" s="469"/>
      <c r="R1" s="10"/>
      <c r="S1" s="10"/>
      <c r="T1" s="10"/>
      <c r="U1" s="10"/>
      <c r="V1" s="10"/>
      <c r="W1" s="10"/>
      <c r="X1" s="10"/>
    </row>
    <row r="2" spans="1:24" ht="24.75" customHeight="1">
      <c r="A2" s="129" t="s">
        <v>512</v>
      </c>
      <c r="B2" s="169"/>
      <c r="C2" s="169"/>
      <c r="D2" s="169"/>
      <c r="E2" s="169"/>
      <c r="F2" s="169"/>
      <c r="G2" s="169"/>
      <c r="H2" s="30"/>
      <c r="I2" s="30"/>
      <c r="J2" s="30"/>
      <c r="K2" s="30"/>
      <c r="L2" s="30"/>
      <c r="M2" s="30"/>
      <c r="N2" s="30"/>
      <c r="O2" s="30"/>
      <c r="P2" s="30"/>
      <c r="Q2" s="30"/>
      <c r="R2" s="10"/>
      <c r="S2" s="10"/>
      <c r="T2" s="10"/>
      <c r="U2" s="10"/>
      <c r="V2" s="10"/>
      <c r="W2" s="10"/>
      <c r="X2" s="10"/>
    </row>
    <row r="3" spans="1:24" ht="24.75" customHeight="1">
      <c r="A3" s="6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10"/>
      <c r="S3" s="10"/>
      <c r="T3" s="10"/>
      <c r="U3" s="10"/>
      <c r="V3" s="10"/>
      <c r="W3" s="10"/>
      <c r="X3" s="10"/>
    </row>
    <row r="4" spans="1:24" ht="24.75" customHeight="1">
      <c r="A4" s="478" t="s">
        <v>64</v>
      </c>
      <c r="B4" s="478"/>
      <c r="C4" s="478"/>
      <c r="D4" s="478"/>
      <c r="E4" s="478"/>
      <c r="F4" s="458">
        <v>2003</v>
      </c>
      <c r="G4" s="458">
        <v>2004</v>
      </c>
      <c r="H4" s="458">
        <v>2005</v>
      </c>
      <c r="I4" s="458">
        <v>2006</v>
      </c>
      <c r="J4" s="458">
        <v>2007</v>
      </c>
      <c r="K4" s="458">
        <v>2008</v>
      </c>
      <c r="L4" s="458">
        <v>2009</v>
      </c>
      <c r="M4" s="458">
        <v>2010</v>
      </c>
      <c r="N4" s="458">
        <v>2011</v>
      </c>
      <c r="O4" s="482">
        <v>2012</v>
      </c>
      <c r="P4" s="482" t="s">
        <v>499</v>
      </c>
      <c r="Q4" s="480" t="s">
        <v>26</v>
      </c>
      <c r="R4" s="10"/>
      <c r="S4" s="10"/>
      <c r="T4" s="10"/>
      <c r="U4" s="10"/>
      <c r="V4" s="10"/>
      <c r="W4" s="10"/>
      <c r="X4" s="10"/>
    </row>
    <row r="5" spans="1:24" ht="24.75" customHeight="1">
      <c r="A5" s="479"/>
      <c r="B5" s="479"/>
      <c r="C5" s="479"/>
      <c r="D5" s="479"/>
      <c r="E5" s="479"/>
      <c r="F5" s="459"/>
      <c r="G5" s="459"/>
      <c r="H5" s="459"/>
      <c r="I5" s="459"/>
      <c r="J5" s="459"/>
      <c r="K5" s="459"/>
      <c r="L5" s="459"/>
      <c r="M5" s="459"/>
      <c r="N5" s="459"/>
      <c r="O5" s="481"/>
      <c r="P5" s="481"/>
      <c r="Q5" s="481"/>
      <c r="R5" s="10"/>
      <c r="S5" s="10"/>
      <c r="T5" s="10"/>
      <c r="U5" s="10"/>
      <c r="V5" s="10"/>
      <c r="W5" s="10"/>
      <c r="X5" s="10"/>
    </row>
    <row r="6" spans="1:24" ht="24.75" customHeight="1">
      <c r="A6" s="122" t="s">
        <v>529</v>
      </c>
      <c r="B6" s="84"/>
      <c r="C6" s="84"/>
      <c r="D6" s="84"/>
      <c r="E6" s="84"/>
      <c r="F6" s="76"/>
      <c r="G6" s="76"/>
      <c r="H6" s="171"/>
      <c r="I6" s="171"/>
      <c r="J6" s="171"/>
      <c r="K6" s="171"/>
      <c r="L6" s="171"/>
      <c r="M6" s="171"/>
      <c r="N6" s="82"/>
      <c r="O6" s="171"/>
      <c r="P6" s="171"/>
      <c r="Q6" s="172"/>
      <c r="R6" s="10"/>
      <c r="S6" s="10"/>
      <c r="T6" s="10"/>
      <c r="U6" s="10"/>
      <c r="V6" s="10"/>
      <c r="W6" s="10"/>
      <c r="X6" s="10"/>
    </row>
    <row r="7" spans="1:24" ht="24.75" customHeight="1">
      <c r="A7" s="75"/>
      <c r="B7" s="75" t="s">
        <v>125</v>
      </c>
      <c r="C7" s="84"/>
      <c r="D7" s="84"/>
      <c r="E7" s="84"/>
      <c r="F7" s="139"/>
      <c r="G7" s="139"/>
      <c r="H7" s="139"/>
      <c r="I7" s="139"/>
      <c r="J7" s="139"/>
      <c r="K7" s="139"/>
      <c r="L7" s="139"/>
      <c r="M7" s="139"/>
      <c r="N7" s="82"/>
      <c r="O7" s="139"/>
      <c r="P7" s="139"/>
      <c r="Q7" s="173"/>
      <c r="R7" s="10"/>
      <c r="S7" s="15"/>
      <c r="T7" s="16"/>
      <c r="U7" s="10"/>
      <c r="V7" s="10"/>
      <c r="W7" s="10"/>
      <c r="X7" s="10"/>
    </row>
    <row r="8" spans="1:24" s="45" customFormat="1" ht="24.75" customHeight="1">
      <c r="A8" s="140"/>
      <c r="B8" s="140" t="s">
        <v>29</v>
      </c>
      <c r="C8" s="141"/>
      <c r="D8" s="141"/>
      <c r="E8" s="141"/>
      <c r="F8" s="279">
        <f>+'PIB ESTATAL 2008'!B9</f>
        <v>895897.0249227205</v>
      </c>
      <c r="G8" s="279">
        <f>+'PIB ESTATAL 2008'!C9</f>
        <v>929794.4681649784</v>
      </c>
      <c r="H8" s="279">
        <f>+'PIB ESTATAL 2008'!D9</f>
        <v>970784.5898271532</v>
      </c>
      <c r="I8" s="279">
        <f>+'PIB ESTATAL 2008'!E9</f>
        <v>1022773.4535686662</v>
      </c>
      <c r="J8" s="279">
        <f>+'PIB ESTATAL 2008'!F9</f>
        <v>1067873.7353488647</v>
      </c>
      <c r="K8" s="279">
        <f>+'PIB ESTATAL 2008'!G9</f>
        <v>1085540.401300925</v>
      </c>
      <c r="L8" s="279">
        <f>+'PIB ESTATAL 2008'!H9</f>
        <v>1044218.7475052022</v>
      </c>
      <c r="M8" s="279">
        <f>+'PIB ESTATAL 2008'!I9</f>
        <v>1123447.4614418729</v>
      </c>
      <c r="N8" s="279">
        <f>+'PIB ESTATAL 2008'!J9</f>
        <v>1165302.8688227355</v>
      </c>
      <c r="O8" s="279">
        <f>+'PIB ESTATAL 2008'!K9</f>
        <v>1205358.1239064266</v>
      </c>
      <c r="P8" s="279">
        <f>+'PIB ESTATAL 2008'!L9</f>
        <v>1221765.393928622</v>
      </c>
      <c r="Q8" s="174">
        <f>(((P8/F8)^(1/10))-1)*100</f>
        <v>3.1508883507203933</v>
      </c>
      <c r="R8" s="46"/>
      <c r="S8" s="48"/>
      <c r="T8" s="49"/>
      <c r="U8" s="46"/>
      <c r="V8" s="46"/>
      <c r="W8" s="46"/>
      <c r="X8" s="46"/>
    </row>
    <row r="9" spans="1:24" ht="24.75" customHeight="1">
      <c r="A9" s="75"/>
      <c r="B9" s="75" t="s">
        <v>126</v>
      </c>
      <c r="C9" s="82"/>
      <c r="D9" s="82"/>
      <c r="E9" s="84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175"/>
      <c r="R9" s="10"/>
      <c r="S9" s="15"/>
      <c r="T9" s="16"/>
      <c r="U9" s="10"/>
      <c r="V9" s="10"/>
      <c r="W9" s="10"/>
      <c r="X9" s="10"/>
    </row>
    <row r="10" spans="1:24" ht="24.75" customHeight="1">
      <c r="A10" s="75"/>
      <c r="B10" s="75" t="s">
        <v>29</v>
      </c>
      <c r="C10" s="75"/>
      <c r="D10" s="75"/>
      <c r="E10" s="84"/>
      <c r="F10" s="280">
        <f>+'PIB ESTATAL 2008'!B10</f>
        <v>873440.9740000002</v>
      </c>
      <c r="G10" s="280">
        <f>+'PIB ESTATAL 2008'!C10</f>
        <v>906504.8670000001</v>
      </c>
      <c r="H10" s="280">
        <f>+'PIB ESTATAL 2008'!D10</f>
        <v>946445.478</v>
      </c>
      <c r="I10" s="280">
        <f>+'PIB ESTATAL 2008'!E10</f>
        <v>997129.432</v>
      </c>
      <c r="J10" s="280">
        <f>+'PIB ESTATAL 2008'!F10</f>
        <v>1041075.158</v>
      </c>
      <c r="K10" s="280">
        <f>+'PIB ESTATAL 2008'!G10</f>
        <v>1058285.259</v>
      </c>
      <c r="L10" s="280">
        <f>+'PIB ESTATAL 2008'!H10</f>
        <v>1018002.5920000002</v>
      </c>
      <c r="M10" s="280">
        <f>+'PIB ESTATAL 2008'!I10</f>
        <v>1095216.182</v>
      </c>
      <c r="N10" s="280">
        <f>+'PIB ESTATAL 2008'!J10</f>
        <v>1136010.1640000003</v>
      </c>
      <c r="O10" s="280">
        <f>+'PIB ESTATAL 2008'!K10</f>
        <v>1174947.815</v>
      </c>
      <c r="P10" s="280">
        <f>+'PIB ESTATAL 2008'!L10</f>
        <v>1190941.1415293415</v>
      </c>
      <c r="Q10" s="175">
        <f>(((P10/F10)^(1/10))-1)*100</f>
        <v>3.149154795537701</v>
      </c>
      <c r="R10" s="10"/>
      <c r="S10" s="15"/>
      <c r="T10" s="16"/>
      <c r="U10" s="10"/>
      <c r="V10" s="10"/>
      <c r="W10" s="10"/>
      <c r="X10" s="10"/>
    </row>
    <row r="11" spans="1:24" ht="24.75" customHeight="1">
      <c r="A11" s="122" t="s">
        <v>127</v>
      </c>
      <c r="B11" s="84"/>
      <c r="C11" s="75"/>
      <c r="D11" s="75"/>
      <c r="E11" s="84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175"/>
      <c r="R11" s="10"/>
      <c r="S11" s="15"/>
      <c r="T11" s="16"/>
      <c r="U11" s="10"/>
      <c r="V11" s="10"/>
      <c r="W11" s="10"/>
      <c r="X11" s="10"/>
    </row>
    <row r="12" spans="1:24" s="45" customFormat="1" ht="24.75" customHeight="1">
      <c r="A12" s="176"/>
      <c r="B12" s="465" t="s">
        <v>586</v>
      </c>
      <c r="C12" s="465"/>
      <c r="D12" s="465"/>
      <c r="E12" s="465"/>
      <c r="F12" s="279">
        <v>74.4909</v>
      </c>
      <c r="G12" s="279">
        <v>78.28</v>
      </c>
      <c r="H12" s="279">
        <v>80.83</v>
      </c>
      <c r="I12" s="279">
        <v>83.65</v>
      </c>
      <c r="J12" s="279">
        <v>86.76</v>
      </c>
      <c r="K12" s="279">
        <v>92.08</v>
      </c>
      <c r="L12" s="279">
        <v>94.88</v>
      </c>
      <c r="M12" s="279">
        <v>99.91</v>
      </c>
      <c r="N12" s="279">
        <v>103.39</v>
      </c>
      <c r="O12" s="279">
        <v>107.42</v>
      </c>
      <c r="P12" s="279">
        <v>111.41</v>
      </c>
      <c r="Q12" s="174">
        <f aca="true" t="shared" si="0" ref="Q12:Q17">(((P12/F12)^(1/10))-1)*100</f>
        <v>4.107518617815464</v>
      </c>
      <c r="R12" s="46"/>
      <c r="S12" s="48"/>
      <c r="T12" s="49"/>
      <c r="U12" s="46"/>
      <c r="V12" s="46"/>
      <c r="W12" s="46"/>
      <c r="X12" s="46"/>
    </row>
    <row r="13" spans="1:24" ht="24.75" customHeight="1">
      <c r="A13" s="75"/>
      <c r="B13" s="82"/>
      <c r="C13" s="75" t="s">
        <v>381</v>
      </c>
      <c r="D13" s="75"/>
      <c r="E13" s="84"/>
      <c r="F13" s="280">
        <v>3.36</v>
      </c>
      <c r="G13" s="280">
        <f>+((G12/F12)-1)*100</f>
        <v>5.086661592221331</v>
      </c>
      <c r="H13" s="280">
        <f aca="true" t="shared" si="1" ref="H13:P13">+((H12/G12)-1)*100</f>
        <v>3.2575370464997366</v>
      </c>
      <c r="I13" s="280">
        <f t="shared" si="1"/>
        <v>3.488803662006701</v>
      </c>
      <c r="J13" s="280">
        <f t="shared" si="1"/>
        <v>3.7178720860729264</v>
      </c>
      <c r="K13" s="280">
        <f t="shared" si="1"/>
        <v>6.1318579990779165</v>
      </c>
      <c r="L13" s="280">
        <f t="shared" si="1"/>
        <v>3.040834057341435</v>
      </c>
      <c r="M13" s="280">
        <f t="shared" si="1"/>
        <v>5.301433389544696</v>
      </c>
      <c r="N13" s="280">
        <f t="shared" si="1"/>
        <v>3.4831348213392177</v>
      </c>
      <c r="O13" s="280">
        <f t="shared" si="1"/>
        <v>3.8978624625205516</v>
      </c>
      <c r="P13" s="280">
        <f t="shared" si="1"/>
        <v>3.714392105753106</v>
      </c>
      <c r="Q13" s="175">
        <f t="shared" si="0"/>
        <v>1.0077848740537965</v>
      </c>
      <c r="R13" s="10"/>
      <c r="S13" s="15"/>
      <c r="T13" s="16"/>
      <c r="U13" s="10"/>
      <c r="V13" s="10"/>
      <c r="W13" s="10"/>
      <c r="X13" s="10"/>
    </row>
    <row r="14" spans="1:24" s="45" customFormat="1" ht="24.75" customHeight="1">
      <c r="A14" s="140"/>
      <c r="B14" s="465" t="s">
        <v>530</v>
      </c>
      <c r="C14" s="465"/>
      <c r="D14" s="465"/>
      <c r="E14" s="465"/>
      <c r="F14" s="279">
        <f>+'ipi est'!B6</f>
        <v>79.05492099403618</v>
      </c>
      <c r="G14" s="279">
        <f>+'ipi est'!C6</f>
        <v>83.79792849640233</v>
      </c>
      <c r="H14" s="279">
        <f>+'ipi est'!D6</f>
        <v>87.58085377681778</v>
      </c>
      <c r="I14" s="279">
        <f>+'ipi est'!E6</f>
        <v>91.24267997625017</v>
      </c>
      <c r="J14" s="279">
        <f>+'ipi est'!F6</f>
        <v>95.2449187071053</v>
      </c>
      <c r="K14" s="279">
        <f>+'ipi est'!G6</f>
        <v>100.00000000015363</v>
      </c>
      <c r="L14" s="279">
        <f>+'ipi est'!H6</f>
        <v>106.74103408106876</v>
      </c>
      <c r="M14" s="279">
        <f>+'ipi est'!I6</f>
        <v>110.36717363866897</v>
      </c>
      <c r="N14" s="279">
        <f>+'ipi est'!J6</f>
        <v>114.43496696317025</v>
      </c>
      <c r="O14" s="279">
        <f>+'ipi est'!K6</f>
        <v>118.51092124548519</v>
      </c>
      <c r="P14" s="279">
        <f>+'ipi est'!L6</f>
        <v>120.63858930347342</v>
      </c>
      <c r="Q14" s="174">
        <f t="shared" si="0"/>
        <v>4.31715497647247</v>
      </c>
      <c r="R14" s="46"/>
      <c r="S14" s="48"/>
      <c r="T14" s="49"/>
      <c r="U14" s="46"/>
      <c r="V14" s="46"/>
      <c r="W14" s="46"/>
      <c r="X14" s="46"/>
    </row>
    <row r="15" spans="1:24" ht="24.75" customHeight="1">
      <c r="A15" s="75"/>
      <c r="B15" s="75"/>
      <c r="C15" s="75" t="s">
        <v>381</v>
      </c>
      <c r="D15" s="75"/>
      <c r="E15" s="84"/>
      <c r="F15" s="280">
        <v>7.6</v>
      </c>
      <c r="G15" s="280">
        <f aca="true" t="shared" si="2" ref="G15:M15">((G14/F14)-1)*100</f>
        <v>5.999636003334907</v>
      </c>
      <c r="H15" s="280">
        <f t="shared" si="2"/>
        <v>4.5143422376817455</v>
      </c>
      <c r="I15" s="280">
        <f t="shared" si="2"/>
        <v>4.181080728858655</v>
      </c>
      <c r="J15" s="280">
        <f t="shared" si="2"/>
        <v>4.386366919403151</v>
      </c>
      <c r="K15" s="280">
        <f t="shared" si="2"/>
        <v>4.992477664526174</v>
      </c>
      <c r="L15" s="280">
        <f t="shared" si="2"/>
        <v>6.741034080904762</v>
      </c>
      <c r="M15" s="280">
        <f t="shared" si="2"/>
        <v>3.397137369726244</v>
      </c>
      <c r="N15" s="280">
        <f>((N14/M14)-1)*100</f>
        <v>3.6856913069268415</v>
      </c>
      <c r="O15" s="280">
        <f>((O14/N14)-1)*100</f>
        <v>3.561808414404255</v>
      </c>
      <c r="P15" s="280">
        <f>((P14/O14)-1)*100</f>
        <v>1.7953350084765285</v>
      </c>
      <c r="Q15" s="175">
        <f t="shared" si="0"/>
        <v>-13.43682232076815</v>
      </c>
      <c r="R15" s="10"/>
      <c r="S15" s="15"/>
      <c r="T15" s="16"/>
      <c r="U15" s="10"/>
      <c r="V15" s="10"/>
      <c r="W15" s="10"/>
      <c r="X15" s="10"/>
    </row>
    <row r="16" spans="1:24" s="45" customFormat="1" ht="24.75" customHeight="1">
      <c r="A16" s="140"/>
      <c r="B16" s="465" t="s">
        <v>531</v>
      </c>
      <c r="C16" s="465"/>
      <c r="D16" s="465"/>
      <c r="E16" s="465"/>
      <c r="F16" s="282">
        <f>+'ipi est'!B7</f>
        <v>77.14559747685936</v>
      </c>
      <c r="G16" s="282">
        <f>+'ipi est'!C7</f>
        <v>82.25718119613802</v>
      </c>
      <c r="H16" s="282">
        <f>+'ipi est'!D7</f>
        <v>86.21950317987572</v>
      </c>
      <c r="I16" s="282">
        <f>+'ipi est'!E7</f>
        <v>90.16023227764879</v>
      </c>
      <c r="J16" s="282">
        <f>+'ipi est'!F7</f>
        <v>94.08825131143892</v>
      </c>
      <c r="K16" s="282">
        <f>+'ipi est'!G7</f>
        <v>100</v>
      </c>
      <c r="L16" s="282">
        <f>+'ipi est'!H7</f>
        <v>105.10884710989023</v>
      </c>
      <c r="M16" s="282">
        <f>+'ipi est'!I7</f>
        <v>108.7625127876352</v>
      </c>
      <c r="N16" s="282">
        <f>+'ipi est'!J7</f>
        <v>113.435188243615</v>
      </c>
      <c r="O16" s="282">
        <f>+'ipi est'!K7</f>
        <v>117.92290706970674</v>
      </c>
      <c r="P16" s="282">
        <f>+'ipi est'!L7</f>
        <v>119.30569997530398</v>
      </c>
      <c r="Q16" s="174">
        <f t="shared" si="0"/>
        <v>4.456388081584373</v>
      </c>
      <c r="R16" s="46"/>
      <c r="S16" s="48"/>
      <c r="T16" s="49"/>
      <c r="U16" s="46"/>
      <c r="V16" s="46"/>
      <c r="W16" s="46"/>
      <c r="X16" s="46"/>
    </row>
    <row r="17" spans="1:24" ht="24.75" customHeight="1">
      <c r="A17" s="75"/>
      <c r="B17" s="75"/>
      <c r="C17" s="75" t="s">
        <v>381</v>
      </c>
      <c r="D17" s="75"/>
      <c r="E17" s="84"/>
      <c r="F17" s="280">
        <v>6.5</v>
      </c>
      <c r="G17" s="280">
        <f aca="true" t="shared" si="3" ref="G17:M17">((G16/F16)-1)*100</f>
        <v>6.625891672965434</v>
      </c>
      <c r="H17" s="280">
        <f t="shared" si="3"/>
        <v>4.816992177606649</v>
      </c>
      <c r="I17" s="280">
        <f t="shared" si="3"/>
        <v>4.570577366412931</v>
      </c>
      <c r="J17" s="280">
        <f t="shared" si="3"/>
        <v>4.356709088430244</v>
      </c>
      <c r="K17" s="280">
        <f t="shared" si="3"/>
        <v>6.283195410862463</v>
      </c>
      <c r="L17" s="280">
        <f t="shared" si="3"/>
        <v>5.1088471098902355</v>
      </c>
      <c r="M17" s="280">
        <f t="shared" si="3"/>
        <v>3.4760781591725465</v>
      </c>
      <c r="N17" s="280">
        <f>((N16/M16)-1)*100</f>
        <v>4.296218739542601</v>
      </c>
      <c r="O17" s="280">
        <f>((O16/N16)-1)*100</f>
        <v>3.956196393357092</v>
      </c>
      <c r="P17" s="280">
        <f>((P16/O16)-1)*100</f>
        <v>1.1726245052454898</v>
      </c>
      <c r="Q17" s="175">
        <f t="shared" si="0"/>
        <v>-15.739397361780805</v>
      </c>
      <c r="R17" s="10"/>
      <c r="S17" s="15"/>
      <c r="T17" s="16"/>
      <c r="U17" s="10"/>
      <c r="V17" s="10"/>
      <c r="W17" s="10"/>
      <c r="X17" s="10"/>
    </row>
    <row r="18" spans="1:24" ht="24.75" customHeight="1">
      <c r="A18" s="122" t="s">
        <v>69</v>
      </c>
      <c r="B18" s="84"/>
      <c r="C18" s="75"/>
      <c r="D18" s="75"/>
      <c r="E18" s="84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175"/>
      <c r="R18" s="10"/>
      <c r="S18" s="15"/>
      <c r="T18" s="16"/>
      <c r="U18" s="10"/>
      <c r="V18" s="10"/>
      <c r="W18" s="10"/>
      <c r="X18" s="10"/>
    </row>
    <row r="19" spans="1:24" ht="24.75" customHeight="1">
      <c r="A19" s="84"/>
      <c r="B19" s="84" t="s">
        <v>458</v>
      </c>
      <c r="C19" s="84"/>
      <c r="D19" s="84"/>
      <c r="E19" s="84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175"/>
      <c r="R19" s="10"/>
      <c r="S19" s="15"/>
      <c r="T19" s="10"/>
      <c r="U19" s="10"/>
      <c r="V19" s="10"/>
      <c r="W19" s="10"/>
      <c r="X19" s="10"/>
    </row>
    <row r="20" spans="1:24" ht="24.75" customHeight="1">
      <c r="A20" s="84"/>
      <c r="B20" s="84" t="s">
        <v>60</v>
      </c>
      <c r="C20" s="84"/>
      <c r="D20" s="84"/>
      <c r="E20" s="84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175"/>
      <c r="R20" s="10"/>
      <c r="S20" s="15"/>
      <c r="T20" s="10"/>
      <c r="U20" s="10"/>
      <c r="V20" s="10"/>
      <c r="W20" s="10"/>
      <c r="X20" s="10"/>
    </row>
    <row r="21" spans="1:24" ht="24.75" customHeight="1">
      <c r="A21" s="84"/>
      <c r="B21" s="84"/>
      <c r="C21" s="84" t="s">
        <v>71</v>
      </c>
      <c r="D21" s="84"/>
      <c r="E21" s="84"/>
      <c r="F21" s="281">
        <f aca="true" t="shared" si="4" ref="F21:L21">(F22+F23)/2</f>
        <v>56.34916479731081</v>
      </c>
      <c r="G21" s="281">
        <f t="shared" si="4"/>
        <v>55.79330608073582</v>
      </c>
      <c r="H21" s="281">
        <f t="shared" si="4"/>
        <v>56.19819373994803</v>
      </c>
      <c r="I21" s="281">
        <f t="shared" si="4"/>
        <v>56.47340107591154</v>
      </c>
      <c r="J21" s="281">
        <f t="shared" si="4"/>
        <v>56.57561088059013</v>
      </c>
      <c r="K21" s="281">
        <f t="shared" si="4"/>
        <v>55.43549087749783</v>
      </c>
      <c r="L21" s="281">
        <f t="shared" si="4"/>
        <v>56.255269814502526</v>
      </c>
      <c r="M21" s="281">
        <f>(M22+M23)/2</f>
        <v>56.01541387248524</v>
      </c>
      <c r="N21" s="281">
        <f>(N22+N23)/2</f>
        <v>56.34974368894478</v>
      </c>
      <c r="O21" s="281">
        <f>(O22+O23)/2</f>
        <v>56.5118227518153</v>
      </c>
      <c r="P21" s="281">
        <f>(P22+P23)/2</f>
        <v>56.61071717081053</v>
      </c>
      <c r="Q21" s="175">
        <f>(((P21/F21)^(1/10))-1)*100</f>
        <v>0.04631970340918112</v>
      </c>
      <c r="R21" s="10"/>
      <c r="S21" s="15"/>
      <c r="T21" s="16"/>
      <c r="U21" s="10"/>
      <c r="V21" s="10"/>
      <c r="W21" s="10"/>
      <c r="X21" s="10"/>
    </row>
    <row r="22" spans="1:24" s="45" customFormat="1" ht="24.75" customHeight="1">
      <c r="A22" s="141"/>
      <c r="B22" s="140"/>
      <c r="C22" s="140" t="s">
        <v>72</v>
      </c>
      <c r="D22" s="140"/>
      <c r="E22" s="140"/>
      <c r="F22" s="279">
        <f>('C2 (Pág. 12)'!F15/'C3 (Pág. 15)'!F12)*100</f>
        <v>54.10056798884158</v>
      </c>
      <c r="G22" s="279">
        <f>('C2 (Pág. 12)'!G15/G$12)*100</f>
        <v>53.794072560040874</v>
      </c>
      <c r="H22" s="279">
        <f>('C2 (Pág. 12)'!H15/H$12)*100</f>
        <v>54.497092663614985</v>
      </c>
      <c r="I22" s="279">
        <f>('C2 (Pág. 12)'!I15/I$12)*100</f>
        <v>54.763897190675436</v>
      </c>
      <c r="J22" s="279">
        <f>('C2 (Pág. 12)'!J15/J$12)*100</f>
        <v>54.86399262332872</v>
      </c>
      <c r="K22" s="279">
        <f>('C2 (Pág. 12)'!K15/K$12)*100</f>
        <v>53.757602085143354</v>
      </c>
      <c r="L22" s="279">
        <f>('C2 (Pág. 12)'!L15/L$12)*100</f>
        <v>54.75337268128162</v>
      </c>
      <c r="M22" s="279">
        <f>('C2 (Pág. 12)'!M15/M$12)*100</f>
        <v>54.5190671604444</v>
      </c>
      <c r="N22" s="279">
        <f>('C2 (Pág. 12)'!N15/N$12)*100</f>
        <v>54.840893703452956</v>
      </c>
      <c r="O22" s="279">
        <f>('C2 (Pág. 12)'!O15/O$12)*100</f>
        <v>54.99906907466021</v>
      </c>
      <c r="P22" s="279">
        <f>('C2 (Pág. 12)'!R15/P$12)*100</f>
        <v>58.127636657391626</v>
      </c>
      <c r="Q22" s="174">
        <f>(((P22/F22)^(1/10))-1)*100</f>
        <v>0.7205489514761299</v>
      </c>
      <c r="R22" s="46"/>
      <c r="S22" s="48"/>
      <c r="T22" s="49"/>
      <c r="U22" s="46"/>
      <c r="V22" s="46"/>
      <c r="W22" s="46"/>
      <c r="X22" s="46"/>
    </row>
    <row r="23" spans="1:24" ht="24.75" customHeight="1">
      <c r="A23" s="84"/>
      <c r="B23" s="75"/>
      <c r="C23" s="75" t="s">
        <v>73</v>
      </c>
      <c r="D23" s="75"/>
      <c r="E23" s="75"/>
      <c r="F23" s="280">
        <f>('C2 (Pág. 12)'!F16/'C3 (Pág. 15)'!F12)*100</f>
        <v>58.59776160578004</v>
      </c>
      <c r="G23" s="280">
        <f>('C2 (Pág. 12)'!G16/G$12)*100</f>
        <v>57.79253960143076</v>
      </c>
      <c r="H23" s="280">
        <f>('C2 (Pág. 12)'!H16/H$12)*100</f>
        <v>57.89929481628108</v>
      </c>
      <c r="I23" s="280">
        <f>('C2 (Pág. 12)'!I16/I$12)*100</f>
        <v>58.18290496114764</v>
      </c>
      <c r="J23" s="280">
        <f>('C2 (Pág. 12)'!J16/J$12)*100</f>
        <v>58.28722913785154</v>
      </c>
      <c r="K23" s="280">
        <f>('C2 (Pág. 12)'!K16/K$12)*100</f>
        <v>57.11337966985231</v>
      </c>
      <c r="L23" s="280">
        <f>('C2 (Pág. 12)'!L16/L$12)*100</f>
        <v>57.757166947723434</v>
      </c>
      <c r="M23" s="280">
        <f>('C2 (Pág. 12)'!M16/M$12)*100</f>
        <v>57.51176058452607</v>
      </c>
      <c r="N23" s="280">
        <f>('C2 (Pág. 12)'!N16/N$12)*100</f>
        <v>57.8585936744366</v>
      </c>
      <c r="O23" s="280">
        <f>('C2 (Pág. 12)'!O16/O$12)*100</f>
        <v>58.0245764289704</v>
      </c>
      <c r="P23" s="280">
        <f>('C2 (Pág. 12)'!R16/P$12)*100</f>
        <v>55.09379768422943</v>
      </c>
      <c r="Q23" s="175">
        <f>(((P23/F23)^(1/10))-1)*100</f>
        <v>-0.6146964920190512</v>
      </c>
      <c r="R23" s="10"/>
      <c r="S23" s="15"/>
      <c r="T23" s="16"/>
      <c r="U23" s="10"/>
      <c r="V23" s="10"/>
      <c r="W23" s="10"/>
      <c r="X23" s="10"/>
    </row>
    <row r="24" spans="1:24" ht="24.75" customHeight="1">
      <c r="A24" s="179" t="s">
        <v>532</v>
      </c>
      <c r="B24" s="180"/>
      <c r="C24" s="181"/>
      <c r="D24" s="181"/>
      <c r="E24" s="180"/>
      <c r="F24" s="284"/>
      <c r="G24" s="284" t="s">
        <v>6</v>
      </c>
      <c r="H24" s="284"/>
      <c r="I24" s="284"/>
      <c r="J24" s="284"/>
      <c r="K24" s="284"/>
      <c r="L24" s="284"/>
      <c r="M24" s="284"/>
      <c r="N24" s="284"/>
      <c r="O24" s="284"/>
      <c r="P24" s="284"/>
      <c r="Q24" s="175"/>
      <c r="R24" s="10"/>
      <c r="S24" s="15"/>
      <c r="T24" s="10"/>
      <c r="U24" s="10"/>
      <c r="V24" s="10"/>
      <c r="W24" s="10"/>
      <c r="X24" s="10"/>
    </row>
    <row r="25" spans="1:24" ht="24.75" customHeight="1">
      <c r="A25" s="75"/>
      <c r="B25" s="75" t="s">
        <v>128</v>
      </c>
      <c r="C25" s="84"/>
      <c r="D25" s="84"/>
      <c r="E25" s="75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175"/>
      <c r="R25" s="10"/>
      <c r="S25" s="15"/>
      <c r="T25" s="16"/>
      <c r="U25" s="10"/>
      <c r="V25" s="10"/>
      <c r="W25" s="10"/>
      <c r="X25" s="10"/>
    </row>
    <row r="26" spans="1:24" ht="24.75" customHeight="1">
      <c r="A26" s="70"/>
      <c r="B26" s="70" t="s">
        <v>31</v>
      </c>
      <c r="C26" s="85"/>
      <c r="D26" s="85"/>
      <c r="E26" s="70"/>
      <c r="F26" s="279">
        <f>+('C2 (Pág. 12)'!F19/'ipi nac'!B6)*100</f>
        <v>15181257.813044967</v>
      </c>
      <c r="G26" s="279">
        <f>+('C2 (Pág. 12)'!G19/'ipi nac'!C6)*100</f>
        <v>17533917.968915887</v>
      </c>
      <c r="H26" s="279">
        <f>+('C2 (Pág. 12)'!H19/'ipi nac'!D6)*100</f>
        <v>17874439.883099318</v>
      </c>
      <c r="I26" s="279">
        <f>+('C2 (Pág. 12)'!I19/'ipi nac'!E6)*100</f>
        <v>18536082.291413937</v>
      </c>
      <c r="J26" s="279">
        <f>+('C2 (Pág. 12)'!J19/'ipi nac'!F6)*100</f>
        <v>17911221.630403485</v>
      </c>
      <c r="K26" s="279">
        <f>+('C2 (Pág. 12)'!K19/'ipi nac'!G6)*100</f>
        <v>22251102.80136155</v>
      </c>
      <c r="L26" s="279">
        <f>+('C2 (Pág. 12)'!L19/'ipi nac'!H6)*100</f>
        <v>22359424.308455795</v>
      </c>
      <c r="M26" s="279">
        <f>+('C2 (Pág. 12)'!M19/'ipi nac'!I6)*100</f>
        <v>19952952.305998947</v>
      </c>
      <c r="N26" s="279">
        <f>+('C2 (Pág. 12)'!N19/'ipi nac'!J6)*100</f>
        <v>19269123.71809798</v>
      </c>
      <c r="O26" s="279">
        <f>+('C2 (Pág. 12)'!O19/'ipi nac'!K6)*100</f>
        <v>21625472.64281082</v>
      </c>
      <c r="P26" s="279">
        <f>+('C2 (Pág. 12)'!R19/'ipi nac'!L6)*100</f>
        <v>28473776.632203586</v>
      </c>
      <c r="Q26" s="174">
        <f>(((P26/F26)^(1/10))-1)*100</f>
        <v>6.491202669992369</v>
      </c>
      <c r="R26" s="10"/>
      <c r="S26" s="15"/>
      <c r="T26" s="16"/>
      <c r="U26" s="10"/>
      <c r="V26" s="10"/>
      <c r="W26" s="10"/>
      <c r="X26" s="10"/>
    </row>
    <row r="27" spans="1:24" ht="24.75" customHeight="1">
      <c r="A27" s="75"/>
      <c r="B27" s="75" t="s">
        <v>129</v>
      </c>
      <c r="C27" s="84"/>
      <c r="D27" s="84"/>
      <c r="E27" s="84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175"/>
      <c r="R27" s="10"/>
      <c r="S27" s="15"/>
      <c r="T27" s="16"/>
      <c r="U27" s="10"/>
      <c r="V27" s="10"/>
      <c r="W27" s="10"/>
      <c r="X27" s="10"/>
    </row>
    <row r="28" spans="1:24" ht="24.75" customHeight="1">
      <c r="A28" s="75"/>
      <c r="B28" s="75" t="s">
        <v>31</v>
      </c>
      <c r="C28" s="84"/>
      <c r="D28" s="84"/>
      <c r="E28" s="84"/>
      <c r="F28" s="280">
        <f>+('C2 (Pág. 12)'!F21/'ipi est'!B6)*100</f>
        <v>12164184.201417962</v>
      </c>
      <c r="G28" s="280">
        <f>+('C2 (Pág. 12)'!G21/'ipi est'!C6)*100</f>
        <v>10975750.061977811</v>
      </c>
      <c r="H28" s="280">
        <f>+('C2 (Pág. 12)'!H21/'ipi est'!D6)*100</f>
        <v>13240333.965937432</v>
      </c>
      <c r="I28" s="280">
        <f>+('C2 (Pág. 12)'!I21/'ipi est'!E6)*100</f>
        <v>15834658.234864105</v>
      </c>
      <c r="J28" s="280">
        <f>+('C2 (Pág. 12)'!J21/'ipi est'!F6)*100</f>
        <v>20292093.095658433</v>
      </c>
      <c r="K28" s="280">
        <f>+('C2 (Pág. 12)'!K21/'ipi est'!G6)*100</f>
        <v>31516826.75995158</v>
      </c>
      <c r="L28" s="280">
        <f>+('C2 (Pág. 12)'!L21/'ipi est'!H6)*100</f>
        <v>27949040.639790002</v>
      </c>
      <c r="M28" s="280">
        <f>+('C2 (Pág. 12)'!M21/'ipi est'!I6)*100</f>
        <v>30156324.259135384</v>
      </c>
      <c r="N28" s="280">
        <f>+('C2 (Pág. 12)'!N21/'ipi est'!J6)*100</f>
        <v>29459122.269751444</v>
      </c>
      <c r="O28" s="280">
        <f>+('C2 (Pág. 12)'!O21/'ipi est'!K6)*100</f>
        <v>28941693.397558212</v>
      </c>
      <c r="P28" s="280">
        <f>+('C2 (Pág. 12)'!R21/'ipi est'!L6)*100</f>
        <v>30018032.584833406</v>
      </c>
      <c r="Q28" s="175">
        <f>(((P28/F28)^(1/10))-1)*100</f>
        <v>9.453568068764673</v>
      </c>
      <c r="R28" s="10"/>
      <c r="S28" s="15"/>
      <c r="T28" s="16"/>
      <c r="U28" s="10"/>
      <c r="V28" s="10"/>
      <c r="W28" s="10"/>
      <c r="X28" s="10"/>
    </row>
    <row r="29" spans="1:24" s="45" customFormat="1" ht="24.75" customHeight="1">
      <c r="A29" s="140"/>
      <c r="B29" s="140"/>
      <c r="C29" s="140" t="s">
        <v>130</v>
      </c>
      <c r="D29" s="140"/>
      <c r="E29" s="140"/>
      <c r="F29" s="279">
        <f>+('C2 (Pág. 12)'!F22/'ipi est'!B6)*100</f>
        <v>5217692.900244849</v>
      </c>
      <c r="G29" s="279">
        <f>+('C2 (Pág. 12)'!G22/'ipi est'!C6)*100</f>
        <v>3815906.727010899</v>
      </c>
      <c r="H29" s="279">
        <f>+('C2 (Pág. 12)'!H22/'ipi est'!D6)*100</f>
        <v>5442477.146222668</v>
      </c>
      <c r="I29" s="279">
        <f>+('C2 (Pág. 12)'!I22/'ipi est'!E6)*100</f>
        <v>7778392.890714471</v>
      </c>
      <c r="J29" s="279">
        <f>+('C2 (Pág. 12)'!J22/'ipi est'!F6)*100</f>
        <v>11753386.110019209</v>
      </c>
      <c r="K29" s="279">
        <f>+('C2 (Pág. 12)'!K22/'ipi est'!G6)*100</f>
        <v>21946820.21996628</v>
      </c>
      <c r="L29" s="279">
        <f>+('C2 (Pág. 12)'!L22/'ipi est'!H6)*100</f>
        <v>18260943.828852247</v>
      </c>
      <c r="M29" s="279">
        <f>+('C2 (Pág. 12)'!M22/'ipi est'!I6)*100</f>
        <v>22079975.39821197</v>
      </c>
      <c r="N29" s="279">
        <f>+('C2 (Pág. 12)'!N22/'ipi est'!J6)*100</f>
        <v>20875803.118568208</v>
      </c>
      <c r="O29" s="279">
        <f>+('C2 (Pág. 12)'!O22/'ipi est'!K6)*100</f>
        <v>20837068.57896926</v>
      </c>
      <c r="P29" s="279">
        <f>+('C2 (Pág. 12)'!R22/'ipi est'!L6)*100</f>
        <v>21437463.08566573</v>
      </c>
      <c r="Q29" s="174">
        <f>(((P29/F29)^(1/10))-1)*100</f>
        <v>15.17798794974603</v>
      </c>
      <c r="R29" s="46"/>
      <c r="S29" s="48"/>
      <c r="T29" s="49"/>
      <c r="U29" s="46"/>
      <c r="V29" s="46"/>
      <c r="W29" s="46"/>
      <c r="X29" s="46"/>
    </row>
    <row r="30" spans="1:24" ht="24.75" customHeight="1">
      <c r="A30" s="84"/>
      <c r="B30" s="75"/>
      <c r="C30" s="75" t="s">
        <v>75</v>
      </c>
      <c r="D30" s="75"/>
      <c r="E30" s="75"/>
      <c r="F30" s="280">
        <f>+('C2 (Pág. 12)'!F23/'ipi est'!B6)*100</f>
        <v>6818362.051372659</v>
      </c>
      <c r="G30" s="280">
        <f>+('C2 (Pág. 12)'!G23/'ipi est'!C6)*100</f>
        <v>6966213.797576894</v>
      </c>
      <c r="H30" s="280">
        <f>+('C2 (Pág. 12)'!H23/'ipi est'!D6)*100</f>
        <v>7621912.241242536</v>
      </c>
      <c r="I30" s="280">
        <f>+('C2 (Pág. 12)'!I23/'ipi est'!E6)*100</f>
        <v>7885455.358032866</v>
      </c>
      <c r="J30" s="280">
        <f>+('C2 (Pág. 12)'!J23/'ipi est'!F6)*100</f>
        <v>8296448.562983038</v>
      </c>
      <c r="K30" s="280">
        <f>+('C2 (Pág. 12)'!K23/'ipi est'!G6)*100</f>
        <v>9570006.539985295</v>
      </c>
      <c r="L30" s="280">
        <f>+('C2 (Pág. 12)'!L23/'ipi est'!H6)*100</f>
        <v>9446085.197293645</v>
      </c>
      <c r="M30" s="280">
        <f>+('C2 (Pág. 12)'!M23/'ipi est'!I6)*100</f>
        <v>8076348.8609234085</v>
      </c>
      <c r="N30" s="280">
        <f>+('C2 (Pág. 12)'!N23/'ipi est'!J6)*100</f>
        <v>8583319.151183235</v>
      </c>
      <c r="O30" s="280">
        <f>+('C2 (Pág. 12)'!O23/'ipi est'!K6)*100</f>
        <v>8104624.818588952</v>
      </c>
      <c r="P30" s="280">
        <f>+('C2 (Pág. 12)'!R23/'ipi est'!L6)*100</f>
        <v>8580569.499167677</v>
      </c>
      <c r="Q30" s="175">
        <f>(((P30/F30)^(1/10))-1)*100</f>
        <v>2.325436396568703</v>
      </c>
      <c r="R30" s="10"/>
      <c r="S30" s="15"/>
      <c r="T30" s="10"/>
      <c r="U30" s="10"/>
      <c r="V30" s="10"/>
      <c r="W30" s="10"/>
      <c r="X30" s="10"/>
    </row>
    <row r="31" spans="1:24" s="45" customFormat="1" ht="24.75" customHeight="1">
      <c r="A31" s="141"/>
      <c r="B31" s="140"/>
      <c r="C31" s="140" t="s">
        <v>76</v>
      </c>
      <c r="D31" s="140"/>
      <c r="E31" s="140"/>
      <c r="F31" s="279">
        <f>+('C2 (Pág. 12)'!F24/'ipi est'!B6)*100</f>
        <v>128129.25346878963</v>
      </c>
      <c r="G31" s="279">
        <f>+('C2 (Pág. 12)'!G24/'ipi est'!C6)*100</f>
        <v>193629.5373900157</v>
      </c>
      <c r="H31" s="279">
        <f>+('C2 (Pág. 12)'!H24/'ipi est'!D6)*100</f>
        <v>175944.57847222753</v>
      </c>
      <c r="I31" s="279">
        <f>+('C2 (Pág. 12)'!I24/'ipi est'!E6)*100</f>
        <v>170809.98611676804</v>
      </c>
      <c r="J31" s="279">
        <f>+('C2 (Pág. 12)'!J24/'ipi est'!F6)*100</f>
        <v>242258.42265618607</v>
      </c>
      <c r="K31" s="279">
        <f>+('C2 (Pág. 12)'!K24/'ipi est'!G6)*100</f>
        <v>0</v>
      </c>
      <c r="L31" s="279">
        <f>+('C2 (Pág. 12)'!L24/'ipi est'!H6)*100</f>
        <v>242011.6136441063</v>
      </c>
      <c r="M31" s="279">
        <f>+('C2 (Pág. 12)'!M24/'ipi est'!I6)*100</f>
        <v>0</v>
      </c>
      <c r="N31" s="279">
        <f>+('C2 (Pág. 12)'!N24/'ipi est'!J6)*100</f>
        <v>0</v>
      </c>
      <c r="O31" s="279">
        <f>+('C2 (Pág. 12)'!O24/'ipi est'!K6)*100</f>
        <v>0</v>
      </c>
      <c r="P31" s="279">
        <f>+('C2 (Pág. 12)'!R24/'ipi est'!L6)*100</f>
        <v>0</v>
      </c>
      <c r="Q31" s="182" t="s">
        <v>55</v>
      </c>
      <c r="R31" s="46"/>
      <c r="S31" s="48"/>
      <c r="T31" s="46"/>
      <c r="U31" s="46"/>
      <c r="V31" s="46"/>
      <c r="W31" s="46"/>
      <c r="X31" s="46"/>
    </row>
    <row r="32" spans="1:24" ht="24.75" customHeight="1">
      <c r="A32" s="75"/>
      <c r="B32" s="75" t="s">
        <v>131</v>
      </c>
      <c r="C32" s="84"/>
      <c r="D32" s="84"/>
      <c r="E32" s="84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175"/>
      <c r="R32" s="10"/>
      <c r="S32" s="15"/>
      <c r="T32" s="16"/>
      <c r="U32" s="10"/>
      <c r="V32" s="10"/>
      <c r="W32" s="10"/>
      <c r="X32" s="10"/>
    </row>
    <row r="33" spans="1:24" ht="24.75" customHeight="1">
      <c r="A33" s="75"/>
      <c r="B33" s="75" t="s">
        <v>31</v>
      </c>
      <c r="C33" s="84"/>
      <c r="D33" s="84"/>
      <c r="E33" s="84"/>
      <c r="F33" s="280">
        <f>+('C2 (Pág. 12)'!F26/'ipi est'!B6)*100</f>
        <v>85729374.39923917</v>
      </c>
      <c r="G33" s="280">
        <f>+('C2 (Pág. 12)'!G26/'ipi est'!C6)*100</f>
        <v>95935947.99118626</v>
      </c>
      <c r="H33" s="280">
        <f>+('C2 (Pág. 12)'!H26/'ipi est'!D6)*100</f>
        <v>101478505.59493513</v>
      </c>
      <c r="I33" s="280">
        <f>+('C2 (Pág. 12)'!I26/'ipi est'!E6)*100</f>
        <v>114730628.06490156</v>
      </c>
      <c r="J33" s="280">
        <f>+('C2 (Pág. 12)'!J26/'ipi est'!F6)*100</f>
        <v>122347981.3745768</v>
      </c>
      <c r="K33" s="280">
        <f>+('C2 (Pág. 12)'!K26/'ipi est'!G6)*100</f>
        <v>147992564.19977263</v>
      </c>
      <c r="L33" s="280">
        <f>+('C2 (Pág. 12)'!L26/'ipi est'!H6)*100</f>
        <v>143068564.97569254</v>
      </c>
      <c r="M33" s="280">
        <f>+('C2 (Pág. 12)'!M26/'ipi est'!I6)*100</f>
        <v>155527308.65607595</v>
      </c>
      <c r="N33" s="280">
        <f>+('C2 (Pág. 12)'!N26/'ipi est'!J6)*100</f>
        <v>161251347.11612096</v>
      </c>
      <c r="O33" s="280">
        <f>+('C2 (Pág. 12)'!O26/'ipi est'!K6)*100</f>
        <v>169265006.71147385</v>
      </c>
      <c r="P33" s="280">
        <f>+('C2 (Pág. 12)'!R26/'ipi est'!L6)*100</f>
        <v>182019982.63392964</v>
      </c>
      <c r="Q33" s="175">
        <f>(((P33/F33)^(1/10))-1)*100</f>
        <v>7.819904148721024</v>
      </c>
      <c r="R33" s="10"/>
      <c r="S33" s="15"/>
      <c r="T33" s="16"/>
      <c r="U33" s="10"/>
      <c r="V33" s="10"/>
      <c r="W33" s="10"/>
      <c r="X33" s="10"/>
    </row>
    <row r="34" spans="1:24" s="45" customFormat="1" ht="24.75" customHeight="1">
      <c r="A34" s="141"/>
      <c r="B34" s="140"/>
      <c r="C34" s="140" t="s">
        <v>77</v>
      </c>
      <c r="D34" s="140"/>
      <c r="E34" s="141"/>
      <c r="F34" s="279">
        <f>+('C2 (Pág. 12)'!F27/'ipi est'!B6)*100</f>
        <v>83949997.50237766</v>
      </c>
      <c r="G34" s="279">
        <f>+('C2 (Pág. 12)'!G27/'ipi est'!C6)*100</f>
        <v>92991011.7090132</v>
      </c>
      <c r="H34" s="279">
        <f>+('C2 (Pág. 12)'!H27/'ipi est'!D6)*100</f>
        <v>95769592.19162297</v>
      </c>
      <c r="I34" s="279">
        <f>+('C2 (Pág. 12)'!I27/'ipi est'!E6)*100</f>
        <v>108241059.69454981</v>
      </c>
      <c r="J34" s="279">
        <f>+('C2 (Pág. 12)'!J27/'ipi est'!F6)*100</f>
        <v>117322549.6087949</v>
      </c>
      <c r="K34" s="279">
        <f>+('C2 (Pág. 12)'!K27/'ipi est'!G6)*100</f>
        <v>142070927.09978172</v>
      </c>
      <c r="L34" s="279">
        <f>+('C2 (Pág. 12)'!L27/'ipi est'!H6)*100</f>
        <v>137447913.038366</v>
      </c>
      <c r="M34" s="279">
        <f>+('C2 (Pág. 12)'!M27/'ipi est'!I6)*100</f>
        <v>149272168.13521624</v>
      </c>
      <c r="N34" s="279">
        <f>+('C2 (Pág. 12)'!N27/'ipi est'!J6)*100</f>
        <v>156872472.0808245</v>
      </c>
      <c r="O34" s="279">
        <f>+('C2 (Pág. 12)'!O27/'ipi est'!K6)*100</f>
        <v>161074154.76467928</v>
      </c>
      <c r="P34" s="279">
        <f>+('C2 (Pág. 12)'!R27/'ipi est'!L6)*100</f>
        <v>178807971.3509956</v>
      </c>
      <c r="Q34" s="174">
        <f>(((P34/F34)^(1/10))-1)*100</f>
        <v>7.8540899868486</v>
      </c>
      <c r="R34" s="46"/>
      <c r="S34" s="48"/>
      <c r="T34" s="49"/>
      <c r="U34" s="46"/>
      <c r="V34" s="46"/>
      <c r="W34" s="46"/>
      <c r="X34" s="46"/>
    </row>
    <row r="35" spans="1:24" ht="24.75" customHeight="1">
      <c r="A35" s="75"/>
      <c r="B35" s="75"/>
      <c r="C35" s="75" t="s">
        <v>78</v>
      </c>
      <c r="D35" s="75"/>
      <c r="E35" s="75"/>
      <c r="F35" s="280">
        <f>+('C2 (Pág. 12)'!F28/'ipi est'!B6)*100</f>
        <v>1779376.8968615106</v>
      </c>
      <c r="G35" s="280">
        <f>+('C2 (Pág. 12)'!G28/'ipi est'!C6)*100</f>
        <v>2944936.282173072</v>
      </c>
      <c r="H35" s="280">
        <f>+('C2 (Pág. 12)'!H28/'ipi est'!D6)*100</f>
        <v>5708913.403312189</v>
      </c>
      <c r="I35" s="280">
        <f>+('C2 (Pág. 12)'!I28/'ipi est'!E6)*100</f>
        <v>6489568.370351749</v>
      </c>
      <c r="J35" s="280">
        <f>+('C2 (Pág. 12)'!J28/'ipi est'!F6)*100</f>
        <v>5025431.765781883</v>
      </c>
      <c r="K35" s="280">
        <f>+('C2 (Pág. 12)'!K28/'ipi est'!G6)*100</f>
        <v>4515064.399993064</v>
      </c>
      <c r="L35" s="280">
        <f>+('C2 (Pág. 12)'!L28/'ipi est'!H6)*100</f>
        <v>4647840.301258515</v>
      </c>
      <c r="M35" s="280">
        <f>+('C2 (Pág. 12)'!M28/'ipi est'!I6)*100</f>
        <v>4521324.62532469</v>
      </c>
      <c r="N35" s="280">
        <f>+('C2 (Pág. 12)'!N28/'ipi est'!J6)*100</f>
        <v>4050594.169780136</v>
      </c>
      <c r="O35" s="280">
        <f>+('C2 (Pág. 12)'!O28/'ipi est'!K6)*100</f>
        <v>8076300.310056555</v>
      </c>
      <c r="P35" s="280">
        <f>+('C2 (Pág. 12)'!R28/'ipi est'!L6)*100</f>
        <v>3078897.408735744</v>
      </c>
      <c r="Q35" s="175">
        <f>(((P35/F35)^(1/10))-1)*100</f>
        <v>5.63618952017455</v>
      </c>
      <c r="R35" s="10"/>
      <c r="S35" s="15"/>
      <c r="T35" s="10"/>
      <c r="U35" s="10"/>
      <c r="V35" s="10"/>
      <c r="W35" s="10"/>
      <c r="X35" s="10"/>
    </row>
    <row r="36" spans="1:24" ht="24.75" customHeight="1">
      <c r="A36" s="84"/>
      <c r="B36" s="84" t="s">
        <v>132</v>
      </c>
      <c r="C36" s="84"/>
      <c r="D36" s="84"/>
      <c r="E36" s="75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175"/>
      <c r="R36" s="10"/>
      <c r="S36" s="15"/>
      <c r="T36" s="16"/>
      <c r="U36" s="10"/>
      <c r="V36" s="10"/>
      <c r="W36" s="10"/>
      <c r="X36" s="10"/>
    </row>
    <row r="37" spans="1:24" ht="24.75" customHeight="1">
      <c r="A37" s="85"/>
      <c r="B37" s="85" t="s">
        <v>31</v>
      </c>
      <c r="C37" s="85"/>
      <c r="D37" s="85"/>
      <c r="E37" s="70"/>
      <c r="F37" s="279">
        <f>+('C2 (Pág. 12)'!F30/'ipi est'!B6)*100</f>
        <v>83252986.24353196</v>
      </c>
      <c r="G37" s="279">
        <f>+('C2 (Pág. 12)'!G30/'ipi est'!C6)*100</f>
        <v>91957199.16072665</v>
      </c>
      <c r="H37" s="279">
        <f>+('C2 (Pág. 12)'!H30/'ipi est'!D6)*100</f>
        <v>99674262.62189136</v>
      </c>
      <c r="I37" s="279">
        <f>+('C2 (Pág. 12)'!I30/'ipi est'!E6)*100</f>
        <v>112480414.89653078</v>
      </c>
      <c r="J37" s="279">
        <f>+('C2 (Pág. 12)'!J30/'ipi est'!F6)*100</f>
        <v>116965375.6990285</v>
      </c>
      <c r="K37" s="279">
        <f>+('C2 (Pág. 12)'!K30/'ipi est'!G6)*100</f>
        <v>141399529.79978275</v>
      </c>
      <c r="L37" s="279">
        <f>+('C2 (Pág. 12)'!L30/'ipi est'!H6)*100</f>
        <v>135128525.63378108</v>
      </c>
      <c r="M37" s="279">
        <f>+('C2 (Pág. 12)'!M30/'ipi est'!I6)*100</f>
        <v>150961621.74585637</v>
      </c>
      <c r="N37" s="279">
        <f>+('C2 (Pág. 12)'!N30/'ipi est'!J6)*100</f>
        <v>156797206.71195543</v>
      </c>
      <c r="O37" s="279">
        <f>+('C2 (Pág. 12)'!O30/'ipi est'!K6)*100</f>
        <v>164016838.58094645</v>
      </c>
      <c r="P37" s="279">
        <f>+('C2 (Pág. 12)'!R30/'ipi est'!L6)*100</f>
        <v>172662240.4179611</v>
      </c>
      <c r="Q37" s="174">
        <f>(((P37/F37)^(1/10))-1)*100</f>
        <v>7.567173044290998</v>
      </c>
      <c r="R37" s="10"/>
      <c r="S37" s="15"/>
      <c r="T37" s="16"/>
      <c r="U37" s="10"/>
      <c r="V37" s="10"/>
      <c r="W37" s="10"/>
      <c r="X37" s="10"/>
    </row>
    <row r="38" spans="1:24" ht="24.75" customHeight="1">
      <c r="A38" s="84"/>
      <c r="B38" s="84"/>
      <c r="C38" s="84" t="s">
        <v>79</v>
      </c>
      <c r="D38" s="84"/>
      <c r="E38" s="84"/>
      <c r="F38" s="280">
        <f>+('C2 (Pág. 12)'!F31/'ipi est'!B6)*100</f>
        <v>721303.7377433054</v>
      </c>
      <c r="G38" s="280">
        <f>+('C2 (Pág. 12)'!G31/'ipi est'!C6)*100</f>
        <v>752260.7196991318</v>
      </c>
      <c r="H38" s="280">
        <f>+('C2 (Pág. 12)'!H31/'ipi est'!D6)*100</f>
        <v>913441.6547692483</v>
      </c>
      <c r="I38" s="280">
        <f>+('C2 (Pág. 12)'!I31/'ipi est'!E6)*100</f>
        <v>943041.4584753218</v>
      </c>
      <c r="J38" s="280">
        <f>+('C2 (Pág. 12)'!J31/'ipi est'!F6)*100</f>
        <v>997420.5583831638</v>
      </c>
      <c r="K38" s="280">
        <f>+('C2 (Pág. 12)'!K31/'ipi est'!G6)*100</f>
        <v>1125457.499998271</v>
      </c>
      <c r="L38" s="280">
        <f>+('C2 (Pág. 12)'!L31/'ipi est'!H6)*100</f>
        <v>1098999.471102233</v>
      </c>
      <c r="M38" s="280">
        <f>+('C2 (Pág. 12)'!M31/'ipi est'!I6)*100</f>
        <v>1127043.5392976159</v>
      </c>
      <c r="N38" s="280">
        <f>+('C2 (Pág. 12)'!N31/'ipi est'!J6)*100</f>
        <v>1149930.947612819</v>
      </c>
      <c r="O38" s="280">
        <f>+('C2 (Pág. 12)'!O31/'ipi est'!K6)*100</f>
        <v>1156918.692041838</v>
      </c>
      <c r="P38" s="280">
        <f>+('C2 (Pág. 12)'!R31/'ipi est'!L6)*100</f>
        <v>1170554.7189777538</v>
      </c>
      <c r="Q38" s="175">
        <f>(((P38/F38)^(1/10))-1)*100</f>
        <v>4.960853545437938</v>
      </c>
      <c r="R38" s="10"/>
      <c r="S38" s="15"/>
      <c r="T38" s="16"/>
      <c r="U38" s="10"/>
      <c r="V38" s="10"/>
      <c r="W38" s="10"/>
      <c r="X38" s="10"/>
    </row>
    <row r="39" spans="1:24" ht="24.75" customHeight="1">
      <c r="A39" s="85"/>
      <c r="B39" s="70"/>
      <c r="C39" s="70" t="s">
        <v>80</v>
      </c>
      <c r="D39" s="70"/>
      <c r="E39" s="85"/>
      <c r="F39" s="279">
        <f>+('C2 (Pág. 12)'!F32/'ipi est'!B6)*100</f>
        <v>1008985.1333355631</v>
      </c>
      <c r="G39" s="279">
        <f>+('C2 (Pág. 12)'!G32/'ipi est'!C6)*100</f>
        <v>1138549.62422008</v>
      </c>
      <c r="H39" s="279">
        <f>+('C2 (Pág. 12)'!H32/'ipi est'!D6)*100</f>
        <v>1202317.578090023</v>
      </c>
      <c r="I39" s="279">
        <f>+('C2 (Pág. 12)'!I32/'ipi est'!E6)*100</f>
        <v>1288702.2830829439</v>
      </c>
      <c r="J39" s="279">
        <f>+('C2 (Pág. 12)'!J32/'ipi est'!F6)*100</f>
        <v>1578678.9682963213</v>
      </c>
      <c r="K39" s="279">
        <f>+('C2 (Pág. 12)'!K32/'ipi est'!G6)*100</f>
        <v>1782192.1999972619</v>
      </c>
      <c r="L39" s="279">
        <f>+('C2 (Pág. 12)'!L32/'ipi est'!H6)*100</f>
        <v>1815339.167998248</v>
      </c>
      <c r="M39" s="279">
        <f>+('C2 (Pág. 12)'!M32/'ipi est'!I6)*100</f>
        <v>2079141.1289670076</v>
      </c>
      <c r="N39" s="279">
        <f>+('C2 (Pág. 12)'!N32/'ipi est'!J6)*100</f>
        <v>2110556.1211699503</v>
      </c>
      <c r="O39" s="279">
        <f>+('C2 (Pág. 12)'!O32/'ipi est'!K6)*100</f>
        <v>2177368.7799244104</v>
      </c>
      <c r="P39" s="279">
        <f>+('C2 (Pág. 12)'!R32/'ipi est'!L6)*100</f>
        <v>2215665.3318251627</v>
      </c>
      <c r="Q39" s="174">
        <f>(((P39/F39)^(1/10))-1)*100</f>
        <v>8.183727105128291</v>
      </c>
      <c r="R39" s="10"/>
      <c r="S39" s="15"/>
      <c r="T39" s="16"/>
      <c r="U39" s="10"/>
      <c r="V39" s="10"/>
      <c r="W39" s="10"/>
      <c r="X39" s="10"/>
    </row>
    <row r="40" spans="1:24" ht="24.75" customHeight="1">
      <c r="A40" s="84"/>
      <c r="B40" s="75"/>
      <c r="C40" s="75" t="s">
        <v>133</v>
      </c>
      <c r="D40" s="75"/>
      <c r="E40" s="84"/>
      <c r="F40" s="280">
        <f>+('C2 (Pág. 12)'!F33/'ipi est'!B6)*100</f>
        <v>81522697.3724531</v>
      </c>
      <c r="G40" s="280">
        <f>+('C2 (Pág. 12)'!G33/'ipi est'!C6)*100</f>
        <v>90066388.81680742</v>
      </c>
      <c r="H40" s="280">
        <f>+('C2 (Pág. 12)'!H33/'ipi est'!D6)*100</f>
        <v>97558503.38903208</v>
      </c>
      <c r="I40" s="280">
        <f>+('C2 (Pág. 12)'!I33/'ipi est'!E6)*100</f>
        <v>110248671.15497251</v>
      </c>
      <c r="J40" s="280">
        <f>+('C2 (Pág. 12)'!J33/'ipi est'!F6)*100</f>
        <v>114389276.17234904</v>
      </c>
      <c r="K40" s="280">
        <f>+('C2 (Pág. 12)'!K33/'ipi est'!G6)*100</f>
        <v>138491880.0997872</v>
      </c>
      <c r="L40" s="280">
        <f>+('C2 (Pág. 12)'!L33/'ipi est'!H6)*100</f>
        <v>132214186.9946806</v>
      </c>
      <c r="M40" s="280">
        <f>+('C2 (Pág. 12)'!M33/'ipi est'!I6)*100</f>
        <v>147755437.0775918</v>
      </c>
      <c r="N40" s="280">
        <f>+('C2 (Pág. 12)'!N33/'ipi est'!J6)*100</f>
        <v>153536719.64317268</v>
      </c>
      <c r="O40" s="280">
        <f>+('C2 (Pág. 12)'!O33/'ipi est'!K6)*100</f>
        <v>160682551.10898018</v>
      </c>
      <c r="P40" s="280">
        <f>+('C2 (Pág. 12)'!R33/'ipi est'!L6)*100</f>
        <v>169276020.3671582</v>
      </c>
      <c r="Q40" s="175">
        <f>(((P40/F40)^(1/10))-1)*100</f>
        <v>7.580037156079555</v>
      </c>
      <c r="R40" s="10"/>
      <c r="S40" s="15"/>
      <c r="T40" s="16"/>
      <c r="U40" s="10"/>
      <c r="V40" s="10"/>
      <c r="W40" s="10"/>
      <c r="X40" s="10"/>
    </row>
    <row r="41" spans="1:24" ht="24.75" customHeight="1">
      <c r="A41" s="84"/>
      <c r="B41" s="84" t="s">
        <v>83</v>
      </c>
      <c r="C41" s="84"/>
      <c r="D41" s="84"/>
      <c r="E41" s="84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175"/>
      <c r="R41" s="10"/>
      <c r="S41" s="15"/>
      <c r="T41" s="16"/>
      <c r="U41" s="10"/>
      <c r="V41" s="10"/>
      <c r="W41" s="10"/>
      <c r="X41" s="10"/>
    </row>
    <row r="42" spans="1:24" s="45" customFormat="1" ht="24.75" customHeight="1">
      <c r="A42" s="141"/>
      <c r="B42" s="141" t="s">
        <v>31</v>
      </c>
      <c r="C42" s="141"/>
      <c r="D42" s="141"/>
      <c r="E42" s="141"/>
      <c r="F42" s="279">
        <f>+('C2 (Pág. 12)'!F37/'ipi est'!B6)*100</f>
        <v>63825704.6690445</v>
      </c>
      <c r="G42" s="279">
        <f>+('C2 (Pág. 12)'!G37/'ipi est'!C6)*100</f>
        <v>65169742.5937499</v>
      </c>
      <c r="H42" s="279">
        <f>+('C2 (Pág. 12)'!H37/'ipi est'!D6)*100</f>
        <v>72755481.76588607</v>
      </c>
      <c r="I42" s="279">
        <f>+('C2 (Pág. 12)'!I37/'ipi est'!E6)*100</f>
        <v>78447848.87799354</v>
      </c>
      <c r="J42" s="279">
        <f>+('C2 (Pág. 12)'!J37/'ipi est'!F6)*100</f>
        <v>85214023.17491326</v>
      </c>
      <c r="K42" s="279">
        <f>+('C2 (Pág. 12)'!K37/'ipi est'!G6)*100</f>
        <v>105465247.59983797</v>
      </c>
      <c r="L42" s="279">
        <f>+('C2 (Pág. 12)'!L37/'ipi est'!H6)*100</f>
        <v>100922140.98111854</v>
      </c>
      <c r="M42" s="279">
        <f>+('C2 (Pág. 12)'!M37/'ipi est'!I6)*100</f>
        <v>114745223.17171055</v>
      </c>
      <c r="N42" s="279">
        <f>+('C2 (Pág. 12)'!N37/'ipi est'!J6)*100</f>
        <v>117212480.11822213</v>
      </c>
      <c r="O42" s="279">
        <f>+('C2 (Pág. 12)'!O37/'ipi est'!K6)*100</f>
        <v>124276504.60578194</v>
      </c>
      <c r="P42" s="279">
        <f>+('C2 (Pág. 12)'!R37/'ipi est'!L6)*100</f>
        <v>132016654.38855931</v>
      </c>
      <c r="Q42" s="174">
        <f>(((P42/F42)^(1/10))-1)*100</f>
        <v>7.538335579670874</v>
      </c>
      <c r="R42" s="46"/>
      <c r="S42" s="48"/>
      <c r="T42" s="49"/>
      <c r="U42" s="46"/>
      <c r="V42" s="46"/>
      <c r="W42" s="46"/>
      <c r="X42" s="46"/>
    </row>
    <row r="43" spans="1:24" ht="24.75" customHeight="1">
      <c r="A43" s="84"/>
      <c r="B43" s="84"/>
      <c r="C43" s="84" t="s">
        <v>81</v>
      </c>
      <c r="D43" s="84"/>
      <c r="E43" s="84"/>
      <c r="F43" s="280">
        <f>+('C2 (Pág. 12)'!F38/'ipi est'!B6)*100</f>
        <v>51742821.93398921</v>
      </c>
      <c r="G43" s="280">
        <f>+('C2 (Pág. 12)'!G38/'ipi est'!C6)*100</f>
        <v>53798000.86816641</v>
      </c>
      <c r="H43" s="280">
        <f>+('C2 (Pág. 12)'!H38/'ipi est'!D6)*100</f>
        <v>57167504.700956345</v>
      </c>
      <c r="I43" s="280">
        <f>+('C2 (Pág. 12)'!I38/'ipi est'!E6)*100</f>
        <v>60727257.04069918</v>
      </c>
      <c r="J43" s="280">
        <f>+('C2 (Pág. 12)'!J38/'ipi est'!F6)*100</f>
        <v>64591543.50184833</v>
      </c>
      <c r="K43" s="280">
        <f>+('C2 (Pág. 12)'!K38/'ipi est'!G6)*100</f>
        <v>68141031.89989533</v>
      </c>
      <c r="L43" s="280">
        <f>+('C2 (Pág. 12)'!L38/'ipi est'!H6)*100</f>
        <v>68647159.01510623</v>
      </c>
      <c r="M43" s="280">
        <f>+('C2 (Pág. 12)'!M38/'ipi est'!I6)*100</f>
        <v>75023656.64548387</v>
      </c>
      <c r="N43" s="280">
        <f>+('C2 (Pág. 12)'!N38/'ipi est'!J6)*100</f>
        <v>79736391.52564855</v>
      </c>
      <c r="O43" s="280">
        <f>+('C2 (Pág. 12)'!O38/'ipi est'!K6)*100</f>
        <v>85851848.3619298</v>
      </c>
      <c r="P43" s="280">
        <f>+('C2 (Pág. 12)'!R38/'ipi est'!L6)*100</f>
        <v>91061204.24174842</v>
      </c>
      <c r="Q43" s="175">
        <f>(((P43/F43)^(1/10))-1)*100</f>
        <v>5.815265970007544</v>
      </c>
      <c r="R43" s="10"/>
      <c r="S43" s="15"/>
      <c r="T43" s="16"/>
      <c r="U43" s="10"/>
      <c r="V43" s="10"/>
      <c r="W43" s="10"/>
      <c r="X43" s="10"/>
    </row>
    <row r="44" spans="1:24" s="45" customFormat="1" ht="24.75" customHeight="1">
      <c r="A44" s="141"/>
      <c r="B44" s="141"/>
      <c r="C44" s="141" t="s">
        <v>82</v>
      </c>
      <c r="D44" s="141"/>
      <c r="E44" s="141"/>
      <c r="F44" s="279">
        <f>+('C2 (Pág. 12)'!F39/'ipi est'!B6)*100</f>
        <v>3109563.034267593</v>
      </c>
      <c r="G44" s="279">
        <f>+('C2 (Pág. 12)'!G39/'ipi est'!C6)*100</f>
        <v>4165368.718094095</v>
      </c>
      <c r="H44" s="279">
        <f>+('C2 (Pág. 12)'!H39/'ipi est'!D6)*100</f>
        <v>6144633.750332842</v>
      </c>
      <c r="I44" s="279">
        <f>+('C2 (Pág. 12)'!I39/'ipi est'!E6)*100</f>
        <v>5906293.854370273</v>
      </c>
      <c r="J44" s="279">
        <f>+('C2 (Pág. 12)'!J39/'ipi est'!F6)*100</f>
        <v>4669220.952013095</v>
      </c>
      <c r="K44" s="279">
        <f>+('C2 (Pág. 12)'!K39/'ipi est'!G6)*100</f>
        <v>9547033.899985332</v>
      </c>
      <c r="L44" s="279">
        <f>+('C2 (Pág. 12)'!L39/'ipi est'!H6)*100</f>
        <v>8345624.601345258</v>
      </c>
      <c r="M44" s="279">
        <f>+('C2 (Pág. 12)'!M39/'ipi est'!I6)*100</f>
        <v>7919241.9374756105</v>
      </c>
      <c r="N44" s="279">
        <f>+('C2 (Pág. 12)'!N39/'ipi est'!J6)*100</f>
        <v>9428897.291046223</v>
      </c>
      <c r="O44" s="279">
        <f>+('C2 (Pág. 12)'!O39/'ipi est'!K6)*100</f>
        <v>13115327.968638277</v>
      </c>
      <c r="P44" s="279">
        <f>+('C2 (Pág. 12)'!R39/'ipi est'!L6)*100</f>
        <v>14317970.39382545</v>
      </c>
      <c r="Q44" s="174">
        <f>(((P44/F44)^(1/10))-1)*100</f>
        <v>16.49793023473709</v>
      </c>
      <c r="R44" s="46"/>
      <c r="S44" s="48"/>
      <c r="T44" s="49"/>
      <c r="U44" s="46"/>
      <c r="V44" s="46"/>
      <c r="W44" s="46"/>
      <c r="X44" s="46"/>
    </row>
    <row r="45" spans="1:24" ht="24.75" customHeight="1">
      <c r="A45" s="84"/>
      <c r="B45" s="84"/>
      <c r="C45" s="84" t="s">
        <v>134</v>
      </c>
      <c r="D45" s="84"/>
      <c r="E45" s="84"/>
      <c r="F45" s="280">
        <f>+('C2 (Pág. 12)'!F40/'ipi est'!B6)*100</f>
        <v>8973319.700787699</v>
      </c>
      <c r="G45" s="280">
        <f>+('C2 (Pág. 12)'!G40/'ipi est'!C6)*100</f>
        <v>7206373.007489393</v>
      </c>
      <c r="H45" s="280">
        <f>+('C2 (Pág. 12)'!H40/'ipi est'!D6)*100</f>
        <v>9443343.314596891</v>
      </c>
      <c r="I45" s="280">
        <f>+('C2 (Pág. 12)'!I40/'ipi est'!E6)*100</f>
        <v>11814297.982924081</v>
      </c>
      <c r="J45" s="280">
        <f>+('C2 (Pág. 12)'!J40/'ipi est'!F6)*100</f>
        <v>15953258.721051827</v>
      </c>
      <c r="K45" s="280">
        <f>+('C2 (Pág. 12)'!K40/'ipi est'!G6)*100</f>
        <v>27777181.799957324</v>
      </c>
      <c r="L45" s="280">
        <f>+('C2 (Pág. 12)'!L40/'ipi est'!H6)*100</f>
        <v>23929357.364667054</v>
      </c>
      <c r="M45" s="280">
        <f>+('C2 (Pág. 12)'!M40/'ipi est'!I6)*100</f>
        <v>31802324.58875106</v>
      </c>
      <c r="N45" s="280">
        <f>+('C2 (Pág. 12)'!N40/'ipi est'!J6)*100</f>
        <v>28047191.301527362</v>
      </c>
      <c r="O45" s="280">
        <f>+('C2 (Pág. 12)'!O40/'ipi est'!K6)*100</f>
        <v>25309328.27521385</v>
      </c>
      <c r="P45" s="280">
        <f>+('C2 (Pág. 12)'!R40/'ipi est'!L6)*100</f>
        <v>26637479.752985448</v>
      </c>
      <c r="Q45" s="175">
        <f>(((P45/F45)^(1/10))-1)*100</f>
        <v>11.494642457055338</v>
      </c>
      <c r="R45" s="10"/>
      <c r="S45" s="15"/>
      <c r="T45" s="16"/>
      <c r="U45" s="10"/>
      <c r="V45" s="10"/>
      <c r="W45" s="10"/>
      <c r="X45" s="10"/>
    </row>
    <row r="46" spans="1:24" ht="24.75" customHeight="1">
      <c r="A46" s="84"/>
      <c r="B46" s="84" t="s">
        <v>135</v>
      </c>
      <c r="C46" s="82"/>
      <c r="D46" s="82"/>
      <c r="E46" s="84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175"/>
      <c r="R46" s="10"/>
      <c r="S46" s="15"/>
      <c r="T46" s="16"/>
      <c r="U46" s="10"/>
      <c r="V46" s="10"/>
      <c r="W46" s="10"/>
      <c r="X46" s="10"/>
    </row>
    <row r="47" spans="1:24" s="45" customFormat="1" ht="24.75" customHeight="1">
      <c r="A47" s="141"/>
      <c r="B47" s="70" t="s">
        <v>31</v>
      </c>
      <c r="C47" s="91"/>
      <c r="D47" s="91"/>
      <c r="E47" s="141"/>
      <c r="F47" s="279">
        <f>+('C2 (Pág. 12)'!F42/'ipi est'!B6)*100</f>
        <v>17696992.70340858</v>
      </c>
      <c r="G47" s="279">
        <f>+('C2 (Pág. 12)'!G42/'ipi est'!C6)*100</f>
        <v>24896646.22305753</v>
      </c>
      <c r="H47" s="279">
        <f>+('C2 (Pág. 12)'!H42/'ipi est'!D6)*100</f>
        <v>24803021.62314601</v>
      </c>
      <c r="I47" s="279">
        <f>+('C2 (Pág. 12)'!I42/'ipi est'!E6)*100</f>
        <v>31800822.276978973</v>
      </c>
      <c r="J47" s="279">
        <f>+('C2 (Pág. 12)'!J42/'ipi est'!F6)*100</f>
        <v>29175252.99743577</v>
      </c>
      <c r="K47" s="279">
        <f>+('C2 (Pág. 12)'!K42/'ipi est'!G6)*100</f>
        <v>33026632.49994926</v>
      </c>
      <c r="L47" s="279">
        <f>+('C2 (Pág. 12)'!L42/'ipi est'!H6)*100</f>
        <v>31292046.01356207</v>
      </c>
      <c r="M47" s="279">
        <f>+('C2 (Pág. 12)'!M42/'ipi est'!I6)*100</f>
        <v>33010213.90588124</v>
      </c>
      <c r="N47" s="279">
        <f>+('C2 (Pág. 12)'!N42/'ipi est'!J6)*100</f>
        <v>36324239.52495056</v>
      </c>
      <c r="O47" s="279">
        <f>+('C2 (Pág. 12)'!O42/'ipi est'!K6)*100</f>
        <v>36406046.50319826</v>
      </c>
      <c r="P47" s="279">
        <f>+('C2 (Pág. 12)'!R42/'ipi est'!L6)*100</f>
        <v>37259365.97859888</v>
      </c>
      <c r="Q47" s="174">
        <f>(((P47/F47)^(1/10))-1)*100</f>
        <v>7.729240703597817</v>
      </c>
      <c r="R47" s="46"/>
      <c r="S47" s="48"/>
      <c r="T47" s="49"/>
      <c r="U47" s="46"/>
      <c r="V47" s="46"/>
      <c r="W47" s="46"/>
      <c r="X47" s="46"/>
    </row>
    <row r="48" spans="1:24" ht="24.75" customHeight="1">
      <c r="A48" s="84"/>
      <c r="B48" s="84"/>
      <c r="C48" s="84" t="s">
        <v>447</v>
      </c>
      <c r="D48" s="84"/>
      <c r="E48" s="84"/>
      <c r="F48" s="280">
        <f>+('C2 (Pág. 12)'!F43/'ipi est'!B6)*100</f>
        <v>13741339.139178332</v>
      </c>
      <c r="G48" s="280">
        <f>+('C2 (Pág. 12)'!G43/'ipi est'!C6)*100</f>
        <v>14055202.80910722</v>
      </c>
      <c r="H48" s="280">
        <f>+('C2 (Pág. 12)'!H43/'ipi est'!D6)*100</f>
        <v>14394503.99984222</v>
      </c>
      <c r="I48" s="280">
        <f>+('C2 (Pág. 12)'!I43/'ipi est'!E6)*100</f>
        <v>17245282.036976255</v>
      </c>
      <c r="J48" s="280">
        <f>+('C2 (Pág. 12)'!J43/'ipi est'!F6)*100</f>
        <v>16537819.66934992</v>
      </c>
      <c r="K48" s="280">
        <f>+('C2 (Pág. 12)'!K43/'ipi est'!G6)*100</f>
        <v>20227879.399968922</v>
      </c>
      <c r="L48" s="280">
        <f>+('C2 (Pág. 12)'!L43/'ipi est'!H6)*100</f>
        <v>19209028.16477071</v>
      </c>
      <c r="M48" s="280">
        <f>+('C2 (Pág. 12)'!M43/'ipi est'!I6)*100</f>
        <v>19726929.830856696</v>
      </c>
      <c r="N48" s="280">
        <f>+('C2 (Pág. 12)'!N43/'ipi est'!J6)*100</f>
        <v>21522245.825374853</v>
      </c>
      <c r="O48" s="280">
        <f>+('C2 (Pág. 12)'!O43/'ipi est'!K6)*100</f>
        <v>21593804.884016056</v>
      </c>
      <c r="P48" s="280">
        <f>+('C2 (Pág. 12)'!R43/'ipi est'!L6)*100</f>
        <v>23056387.64560649</v>
      </c>
      <c r="Q48" s="175">
        <f>(((P48/F48)^(1/10))-1)*100</f>
        <v>5.311602339904953</v>
      </c>
      <c r="R48" s="10"/>
      <c r="S48" s="15"/>
      <c r="T48" s="16"/>
      <c r="U48" s="10"/>
      <c r="V48" s="10"/>
      <c r="W48" s="10"/>
      <c r="X48" s="10"/>
    </row>
    <row r="49" spans="1:24" s="45" customFormat="1" ht="24.75" customHeight="1">
      <c r="A49" s="141"/>
      <c r="B49" s="85"/>
      <c r="C49" s="85" t="s">
        <v>448</v>
      </c>
      <c r="D49" s="85"/>
      <c r="E49" s="141"/>
      <c r="F49" s="279">
        <f>+('C2 (Pág. 12)'!F44/'ipi est'!B6)*100</f>
        <v>3955653.5642302493</v>
      </c>
      <c r="G49" s="279">
        <f>+('C2 (Pág. 12)'!G44/'ipi est'!C6)*100</f>
        <v>7559057.74003942</v>
      </c>
      <c r="H49" s="279">
        <f>+('C2 (Pág. 12)'!H44/'ipi est'!D6)*100</f>
        <v>7602078.322924878</v>
      </c>
      <c r="I49" s="279">
        <f>+('C2 (Pág. 12)'!I44/'ipi est'!E6)*100</f>
        <v>8879113.921367472</v>
      </c>
      <c r="J49" s="279">
        <f>+('C2 (Pág. 12)'!J44/'ipi est'!F6)*100</f>
        <v>6780041.064299064</v>
      </c>
      <c r="K49" s="279">
        <f>+('C2 (Pág. 12)'!K44/'ipi est'!G6)*100</f>
        <v>6265385.699990373</v>
      </c>
      <c r="L49" s="279">
        <f>+('C2 (Pág. 12)'!L44/'ipi est'!H6)*100</f>
        <v>5610596.666556142</v>
      </c>
      <c r="M49" s="279">
        <f>+('C2 (Pág. 12)'!M44/'ipi est'!I6)*100</f>
        <v>5388943.019843856</v>
      </c>
      <c r="N49" s="279">
        <f>+('C2 (Pág. 12)'!N44/'ipi est'!J6)*100</f>
        <v>5056941.382141054</v>
      </c>
      <c r="O49" s="279">
        <f>+('C2 (Pág. 12)'!O44/'ipi est'!K6)*100</f>
        <v>5463606.418675673</v>
      </c>
      <c r="P49" s="279">
        <f>+('C2 (Pág. 12)'!R44/'ipi est'!L6)*100</f>
        <v>4321467.310004343</v>
      </c>
      <c r="Q49" s="174">
        <f>(((P49/F49)^(1/10))-1)*100</f>
        <v>0.8884148052577645</v>
      </c>
      <c r="R49" s="46"/>
      <c r="S49" s="48"/>
      <c r="T49" s="49"/>
      <c r="U49" s="46"/>
      <c r="V49" s="46"/>
      <c r="W49" s="46"/>
      <c r="X49" s="46"/>
    </row>
    <row r="50" spans="1:24" ht="24.75" customHeight="1">
      <c r="A50" s="84"/>
      <c r="B50" s="84"/>
      <c r="C50" s="84" t="s">
        <v>441</v>
      </c>
      <c r="D50" s="84"/>
      <c r="E50" s="84"/>
      <c r="F50" s="280">
        <f>+('C2 (Pág. 12)'!F45/'ipi est'!B6)*100</f>
        <v>0</v>
      </c>
      <c r="G50" s="280">
        <f>+('C2 (Pág. 12)'!G45/'ipi est'!C6)*100</f>
        <v>3282385.673910889</v>
      </c>
      <c r="H50" s="280">
        <f>+('C2 (Pág. 12)'!H45/'ipi est'!D6)*100</f>
        <v>2806439.300378909</v>
      </c>
      <c r="I50" s="280">
        <f>+('C2 (Pág. 12)'!I45/'ipi est'!E6)*100</f>
        <v>5676426.31863525</v>
      </c>
      <c r="J50" s="280">
        <f>+('C2 (Pág. 12)'!J45/'ipi est'!F6)*100</f>
        <v>5857392.263786787</v>
      </c>
      <c r="K50" s="280">
        <f>+('C2 (Pág. 12)'!K45/'ipi est'!G6)*100</f>
        <v>6533367.399989963</v>
      </c>
      <c r="L50" s="280">
        <f>+('C2 (Pág. 12)'!L45/'ipi est'!H6)*100</f>
        <v>6472421.18223521</v>
      </c>
      <c r="M50" s="280">
        <f>+('C2 (Pág. 12)'!M45/'ipi est'!I6)*100</f>
        <v>7894341.055180686</v>
      </c>
      <c r="N50" s="280">
        <f>+('C2 (Pág. 12)'!N45/'ipi est'!J6)*100</f>
        <v>9745052.317434652</v>
      </c>
      <c r="O50" s="280">
        <f>+('C2 (Pág. 12)'!O45/'ipi est'!K6)*100</f>
        <v>9348635.200506529</v>
      </c>
      <c r="P50" s="280">
        <f>+('C2 (Pág. 12)'!R45/'ipi est'!L6)*100</f>
        <v>9881511.022988044</v>
      </c>
      <c r="Q50" s="201" t="s">
        <v>55</v>
      </c>
      <c r="R50" s="10"/>
      <c r="S50" s="15"/>
      <c r="T50" s="16"/>
      <c r="U50" s="10"/>
      <c r="V50" s="10"/>
      <c r="W50" s="10"/>
      <c r="X50" s="10"/>
    </row>
    <row r="51" spans="1:24" ht="24.75" customHeight="1">
      <c r="A51" s="84"/>
      <c r="B51" s="84" t="s">
        <v>85</v>
      </c>
      <c r="C51" s="84"/>
      <c r="D51" s="84"/>
      <c r="E51" s="84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175"/>
      <c r="R51" s="10"/>
      <c r="S51" s="15"/>
      <c r="T51" s="16"/>
      <c r="U51" s="10"/>
      <c r="V51" s="10"/>
      <c r="W51" s="10"/>
      <c r="X51" s="10"/>
    </row>
    <row r="52" spans="1:24" s="45" customFormat="1" ht="24.75" customHeight="1">
      <c r="A52" s="141"/>
      <c r="B52" s="141" t="s">
        <v>31</v>
      </c>
      <c r="C52" s="141"/>
      <c r="D52" s="141"/>
      <c r="E52" s="141"/>
      <c r="F52" s="279">
        <f>+('C2 (Pág. 12)'!F47/'ipi est'!B6)*100</f>
        <v>40323912.413251095</v>
      </c>
      <c r="G52" s="279">
        <f>+('C2 (Pág. 12)'!G47/'ipi est'!C6)*100</f>
        <v>35650871.13255144</v>
      </c>
      <c r="H52" s="279">
        <f>+('C2 (Pág. 12)'!H47/'ipi est'!D6)*100</f>
        <v>34124031.46486648</v>
      </c>
      <c r="I52" s="279">
        <f>+('C2 (Pág. 12)'!I47/'ipi est'!E6)*100</f>
        <v>32309732.580929786</v>
      </c>
      <c r="J52" s="279">
        <f>+('C2 (Pág. 12)'!J47/'ipi est'!F6)*100</f>
        <v>30561095.01181037</v>
      </c>
      <c r="K52" s="279">
        <f>+('C2 (Pág. 12)'!K47/'ipi est'!G6)*100</f>
        <v>28867006.49995565</v>
      </c>
      <c r="L52" s="279">
        <f>+('C2 (Pág. 12)'!L47/'ipi est'!H6)*100</f>
        <v>26991200.664327994</v>
      </c>
      <c r="M52" s="279">
        <f>+('C2 (Pág. 12)'!M47/'ipi est'!I6)*100</f>
        <v>26001520.609698277</v>
      </c>
      <c r="N52" s="279">
        <f>+('C2 (Pág. 12)'!N47/'ipi est'!J6)*100</f>
        <v>24705286.373787213</v>
      </c>
      <c r="O52" s="279">
        <f>+('C2 (Pág. 12)'!O47/'ipi est'!K6)*100</f>
        <v>27614108.18182018</v>
      </c>
      <c r="P52" s="279">
        <f>+('C2 (Pág. 12)'!R47/'ipi est'!L6)*100</f>
        <v>27023071.712146897</v>
      </c>
      <c r="Q52" s="174">
        <f>(((P52/F52)^(1/10))-1)*100</f>
        <v>-3.923493039940873</v>
      </c>
      <c r="R52" s="46"/>
      <c r="S52" s="48"/>
      <c r="T52" s="49"/>
      <c r="U52" s="46"/>
      <c r="V52" s="46"/>
      <c r="W52" s="46"/>
      <c r="X52" s="46"/>
    </row>
    <row r="53" spans="1:24" ht="24.75" customHeight="1">
      <c r="A53" s="84"/>
      <c r="B53" s="84" t="s">
        <v>136</v>
      </c>
      <c r="C53" s="84"/>
      <c r="D53" s="84"/>
      <c r="E53" s="84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175"/>
      <c r="R53" s="10"/>
      <c r="S53" s="15"/>
      <c r="T53" s="16"/>
      <c r="U53" s="10"/>
      <c r="V53" s="10"/>
      <c r="W53" s="10"/>
      <c r="X53" s="10"/>
    </row>
    <row r="54" spans="1:24" ht="24.75" customHeight="1">
      <c r="A54" s="84"/>
      <c r="B54" s="84" t="s">
        <v>31</v>
      </c>
      <c r="C54" s="84"/>
      <c r="D54" s="84"/>
      <c r="E54" s="84"/>
      <c r="F54" s="280">
        <f>+('C2 (Pág. 12)'!F49/'ipi est'!B6)*100</f>
        <v>20860273.437303253</v>
      </c>
      <c r="G54" s="280">
        <f>+('C2 (Pág. 12)'!G49/'ipi est'!C6)*100</f>
        <v>22900403.200090896</v>
      </c>
      <c r="H54" s="280">
        <f>+('C2 (Pág. 12)'!H49/'ipi est'!D6)*100</f>
        <v>24373511.445968926</v>
      </c>
      <c r="I54" s="280">
        <f>+('C2 (Pág. 12)'!I49/'ipi est'!E6)*100</f>
        <v>27090445.28316566</v>
      </c>
      <c r="J54" s="280">
        <f>+('C2 (Pág. 12)'!J49/'ipi est'!F6)*100</f>
        <v>30046730.693345737</v>
      </c>
      <c r="K54" s="280">
        <f>+('C2 (Pág. 12)'!K49/'ipi est'!G6)*100</f>
        <v>34617230.79894682</v>
      </c>
      <c r="L54" s="280">
        <f>+('C2 (Pág. 12)'!L49/'ipi est'!H6)*100</f>
        <v>34053360.79677976</v>
      </c>
      <c r="M54" s="280">
        <f>+('C2 (Pág. 12)'!M49/'ipi est'!I6)*100</f>
        <v>35802526.73011782</v>
      </c>
      <c r="N54" s="280">
        <f>+('C2 (Pág. 12)'!N49/'ipi est'!J6)*100</f>
        <v>38713762.39456003</v>
      </c>
      <c r="O54" s="280">
        <f>+('C2 (Pág. 12)'!O49/'ipi est'!K6)*100</f>
        <v>41862391.39702071</v>
      </c>
      <c r="P54" s="280">
        <f>+('C2 (Pág. 12)'!R49/'ipi est'!L6)*100</f>
        <v>36962801.24581673</v>
      </c>
      <c r="Q54" s="175">
        <f>(((P54/F54)^(1/10))-1)*100</f>
        <v>5.88744959533678</v>
      </c>
      <c r="R54" s="10"/>
      <c r="S54" s="15"/>
      <c r="T54" s="16"/>
      <c r="U54" s="10"/>
      <c r="V54" s="10"/>
      <c r="W54" s="10"/>
      <c r="X54" s="10"/>
    </row>
    <row r="55" spans="1:24" ht="24.75" customHeight="1">
      <c r="A55" s="84"/>
      <c r="B55" s="84" t="s">
        <v>137</v>
      </c>
      <c r="C55" s="84"/>
      <c r="D55" s="84"/>
      <c r="E55" s="84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175"/>
      <c r="R55" s="10"/>
      <c r="S55" s="15"/>
      <c r="T55" s="16"/>
      <c r="U55" s="10"/>
      <c r="V55" s="10"/>
      <c r="W55" s="10"/>
      <c r="X55" s="10"/>
    </row>
    <row r="56" spans="1:24" s="45" customFormat="1" ht="24.75" customHeight="1">
      <c r="A56" s="141"/>
      <c r="B56" s="141" t="s">
        <v>31</v>
      </c>
      <c r="C56" s="141"/>
      <c r="D56" s="141"/>
      <c r="E56" s="141"/>
      <c r="F56" s="279">
        <f>+('C2 (Pág. 12)'!F51/'ipi est'!B6)*100</f>
        <v>21024470.905807197</v>
      </c>
      <c r="G56" s="279">
        <f>+('C2 (Pág. 12)'!G51/'ipi est'!C6)*100</f>
        <v>23285805.690098587</v>
      </c>
      <c r="H56" s="279">
        <f>+('C2 (Pág. 12)'!H51/'ipi est'!D6)*100</f>
        <v>24949595.714915115</v>
      </c>
      <c r="I56" s="279">
        <f>+('C2 (Pág. 12)'!I51/'ipi est'!E6)*100</f>
        <v>25707029.09031758</v>
      </c>
      <c r="J56" s="279">
        <f>+('C2 (Pág. 12)'!J51/'ipi est'!F6)*100</f>
        <v>30046730.693345737</v>
      </c>
      <c r="K56" s="279">
        <f>+('C2 (Pág. 12)'!K51/'ipi est'!G6)*100</f>
        <v>34617230.79894682</v>
      </c>
      <c r="L56" s="279">
        <f>+('C2 (Pág. 12)'!L51/'ipi est'!H6)*100</f>
        <v>33341278.759029664</v>
      </c>
      <c r="M56" s="279">
        <f>+('C2 (Pág. 12)'!M51/'ipi est'!I6)*100</f>
        <v>33704721.90401977</v>
      </c>
      <c r="N56" s="279">
        <f>+('C2 (Pág. 12)'!N51/'ipi est'!J6)*100</f>
        <v>37829070.28127106</v>
      </c>
      <c r="O56" s="279">
        <f>+('C2 (Pág. 12)'!O51/'ipi est'!K6)*100</f>
        <v>54054077.65526121</v>
      </c>
      <c r="P56" s="279">
        <f>+('C2 (Pág. 12)'!R51/'ipi est'!L6)*100</f>
        <v>36388417.83002852</v>
      </c>
      <c r="Q56" s="174">
        <f>(((P56/F56)^(1/10))-1)*100</f>
        <v>5.638885267023563</v>
      </c>
      <c r="R56" s="46"/>
      <c r="S56" s="48"/>
      <c r="T56" s="49"/>
      <c r="U56" s="46"/>
      <c r="V56" s="46"/>
      <c r="W56" s="46"/>
      <c r="X56" s="46"/>
    </row>
    <row r="57" spans="1:24" ht="24.75" customHeight="1">
      <c r="A57" s="122" t="s">
        <v>548</v>
      </c>
      <c r="B57" s="79"/>
      <c r="C57" s="79"/>
      <c r="D57" s="79"/>
      <c r="E57" s="79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150"/>
      <c r="R57" s="10"/>
      <c r="S57" s="15"/>
      <c r="T57" s="10"/>
      <c r="U57" s="10"/>
      <c r="V57" s="10"/>
      <c r="W57" s="10"/>
      <c r="X57" s="10"/>
    </row>
    <row r="58" spans="1:24" ht="24.75" customHeight="1">
      <c r="A58" s="84"/>
      <c r="B58" s="84" t="s">
        <v>93</v>
      </c>
      <c r="C58" s="75"/>
      <c r="D58" s="75"/>
      <c r="E58" s="75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175"/>
      <c r="R58" s="10"/>
      <c r="S58" s="15"/>
      <c r="T58" s="16"/>
      <c r="U58" s="10"/>
      <c r="V58" s="10"/>
      <c r="W58" s="10"/>
      <c r="X58" s="10"/>
    </row>
    <row r="59" spans="1:24" s="45" customFormat="1" ht="24.75" customHeight="1">
      <c r="A59" s="141"/>
      <c r="B59" s="141" t="s">
        <v>31</v>
      </c>
      <c r="C59" s="140"/>
      <c r="D59" s="140"/>
      <c r="E59" s="140"/>
      <c r="F59" s="279">
        <f>+('C2 (Pág. 13)'!F9/'ipi est'!B8)*100</f>
        <v>19410096.853633154</v>
      </c>
      <c r="G59" s="279">
        <f>+('C2 (Pág. 13)'!G9/'ipi est'!C8)*100</f>
        <v>19003971.59074719</v>
      </c>
      <c r="H59" s="279">
        <f>+('C2 (Pág. 13)'!H9/'ipi est'!D8)*100</f>
        <v>15829657.352505097</v>
      </c>
      <c r="I59" s="279">
        <f>+('C2 (Pág. 13)'!I9/'ipi est'!E8)*100</f>
        <v>17040094.143720254</v>
      </c>
      <c r="J59" s="279">
        <f>+('C2 (Pág. 13)'!J9/'ipi est'!F8)*100</f>
        <v>16759618.963242872</v>
      </c>
      <c r="K59" s="279">
        <f>+('C2 (Pág. 13)'!K9/'ipi est'!G8)*100</f>
        <v>17994509.954155125</v>
      </c>
      <c r="L59" s="279">
        <f>+('C2 (Pág. 13)'!L9/'ipi est'!H8)*100</f>
        <v>18193099.676242303</v>
      </c>
      <c r="M59" s="279">
        <f>+('C2 (Pág. 13)'!M9/'ipi est'!I8)*100</f>
        <v>20914739.18314609</v>
      </c>
      <c r="N59" s="279">
        <f>+('C2 (Pág. 13)'!N9/'ipi est'!J8)*100</f>
        <v>15012641.50980545</v>
      </c>
      <c r="O59" s="279">
        <f>+('C2 (Pág. 13)'!O9/'ipi est'!K8)*100</f>
        <v>17832946.250448428</v>
      </c>
      <c r="P59" s="279">
        <f>+('C2 (Pág. 13)'!R9/'ipi est'!L8)*100</f>
        <v>17242434.45088518</v>
      </c>
      <c r="Q59" s="174">
        <f>(((P59/F59)^(1/10))-1)*100</f>
        <v>-1.1772151798817965</v>
      </c>
      <c r="R59" s="46"/>
      <c r="S59" s="48"/>
      <c r="T59" s="49"/>
      <c r="U59" s="46"/>
      <c r="V59" s="46"/>
      <c r="W59" s="46"/>
      <c r="X59" s="46"/>
    </row>
    <row r="60" spans="1:24" ht="24.75" customHeight="1">
      <c r="A60" s="84"/>
      <c r="B60" s="84" t="s">
        <v>94</v>
      </c>
      <c r="C60" s="84"/>
      <c r="D60" s="84"/>
      <c r="E60" s="75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175"/>
      <c r="R60" s="10"/>
      <c r="S60" s="15"/>
      <c r="T60" s="16"/>
      <c r="U60" s="10"/>
      <c r="V60" s="10"/>
      <c r="W60" s="10"/>
      <c r="X60" s="10"/>
    </row>
    <row r="61" spans="1:24" ht="24.75" customHeight="1">
      <c r="A61" s="84"/>
      <c r="B61" s="84" t="s">
        <v>31</v>
      </c>
      <c r="C61" s="84"/>
      <c r="D61" s="84"/>
      <c r="E61" s="75"/>
      <c r="F61" s="280">
        <f>+('C2 (Pág. 13)'!F11/'ipi est'!B8)*100</f>
        <v>4336913.504261332</v>
      </c>
      <c r="G61" s="280">
        <f>+('C2 (Pág. 13)'!G11/'ipi est'!C8)*100</f>
        <v>4915755.732643088</v>
      </c>
      <c r="H61" s="280">
        <f>+('C2 (Pág. 13)'!H11/'ipi est'!D8)*100</f>
        <v>2648305.9045791584</v>
      </c>
      <c r="I61" s="280">
        <f>+('C2 (Pág. 13)'!I11/'ipi est'!E8)*100</f>
        <v>4991919.792424127</v>
      </c>
      <c r="J61" s="280">
        <f>+('C2 (Pág. 13)'!J11/'ipi est'!F8)*100</f>
        <v>5398185.695555418</v>
      </c>
      <c r="K61" s="280">
        <f>+('C2 (Pág. 13)'!K11/'ipi est'!G8)*100</f>
        <v>5569846.8918490345</v>
      </c>
      <c r="L61" s="280">
        <f>+('C2 (Pág. 13)'!L11/'ipi est'!H8)*100</f>
        <v>5303662.714759019</v>
      </c>
      <c r="M61" s="280">
        <f>+('C2 (Pág. 13)'!M11/'ipi est'!I8)*100</f>
        <v>6649524.963179264</v>
      </c>
      <c r="N61" s="280">
        <f>+('C2 (Pág. 13)'!N11/'ipi est'!J8)*100</f>
        <v>2762956.4080844456</v>
      </c>
      <c r="O61" s="280">
        <f>+('C2 (Pág. 13)'!O11/'ipi est'!K8)*100</f>
        <v>7100770.337194951</v>
      </c>
      <c r="P61" s="280">
        <f>+('C2 (Pág. 13)'!R11/'ipi est'!L8)*100</f>
        <v>6465867.200451884</v>
      </c>
      <c r="Q61" s="175">
        <f>(((P61/F61)^(1/10))-1)*100</f>
        <v>4.074564437234973</v>
      </c>
      <c r="R61" s="10"/>
      <c r="S61" s="15"/>
      <c r="T61" s="16"/>
      <c r="U61" s="10"/>
      <c r="V61" s="10"/>
      <c r="W61" s="10"/>
      <c r="X61" s="10"/>
    </row>
    <row r="62" spans="1:17" ht="24.75" customHeight="1">
      <c r="A62" s="106" t="s">
        <v>25</v>
      </c>
      <c r="B62" s="82"/>
      <c r="C62" s="82"/>
      <c r="D62" s="82"/>
      <c r="E62" s="82"/>
      <c r="F62" s="83"/>
      <c r="G62" s="83"/>
      <c r="H62" s="83"/>
      <c r="I62" s="84"/>
      <c r="J62" s="84"/>
      <c r="K62" s="84"/>
      <c r="L62" s="84"/>
      <c r="M62" s="84"/>
      <c r="N62" s="84"/>
      <c r="O62" s="84"/>
      <c r="P62" s="84"/>
      <c r="Q62" s="240"/>
    </row>
    <row r="63" ht="15">
      <c r="A63" s="21"/>
    </row>
    <row r="65" spans="1:17" ht="18">
      <c r="A65" s="477"/>
      <c r="B65" s="477"/>
      <c r="C65" s="477"/>
      <c r="D65" s="477"/>
      <c r="E65" s="477"/>
      <c r="F65" s="477"/>
      <c r="G65" s="477"/>
      <c r="H65" s="477"/>
      <c r="I65" s="477"/>
      <c r="J65" s="477"/>
      <c r="K65" s="477"/>
      <c r="L65" s="477"/>
      <c r="M65" s="477"/>
      <c r="N65" s="477"/>
      <c r="O65" s="477"/>
      <c r="P65" s="477"/>
      <c r="Q65" s="477"/>
    </row>
  </sheetData>
  <sheetProtection/>
  <mergeCells count="18">
    <mergeCell ref="A65:Q65"/>
    <mergeCell ref="I1:Q1"/>
    <mergeCell ref="A4:E5"/>
    <mergeCell ref="Q4:Q5"/>
    <mergeCell ref="F4:F5"/>
    <mergeCell ref="G4:G5"/>
    <mergeCell ref="H4:H5"/>
    <mergeCell ref="P4:P5"/>
    <mergeCell ref="B14:E14"/>
    <mergeCell ref="O4:O5"/>
    <mergeCell ref="B16:E16"/>
    <mergeCell ref="K4:K5"/>
    <mergeCell ref="L4:L5"/>
    <mergeCell ref="M4:M5"/>
    <mergeCell ref="N4:N5"/>
    <mergeCell ref="I4:I5"/>
    <mergeCell ref="J4:J5"/>
    <mergeCell ref="B12:E12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scale="40" r:id="rId2"/>
  <headerFooter alignWithMargins="0">
    <oddHeader>&amp;C
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theme="9" tint="-0.24997000396251678"/>
  </sheetPr>
  <dimension ref="A1:X70"/>
  <sheetViews>
    <sheetView showGridLines="0" view="pageBreakPreview" zoomScale="115" zoomScaleNormal="60" zoomScaleSheetLayoutView="115" zoomScalePageLayoutView="0" workbookViewId="0" topLeftCell="A1">
      <selection activeCell="A1" sqref="A1"/>
    </sheetView>
  </sheetViews>
  <sheetFormatPr defaultColWidth="9.77734375" defaultRowHeight="15.75"/>
  <cols>
    <col min="1" max="4" width="2.77734375" style="4" customWidth="1"/>
    <col min="5" max="5" width="25.6640625" style="4" customWidth="1"/>
    <col min="6" max="8" width="11.77734375" style="9" customWidth="1"/>
    <col min="9" max="9" width="12.6640625" style="10" customWidth="1"/>
    <col min="10" max="10" width="12.3359375" style="10" customWidth="1"/>
    <col min="11" max="11" width="11.99609375" style="10" customWidth="1"/>
    <col min="12" max="12" width="12.3359375" style="10" customWidth="1"/>
    <col min="13" max="13" width="11.77734375" style="10" customWidth="1"/>
    <col min="14" max="16" width="13.10546875" style="10" customWidth="1"/>
    <col min="17" max="17" width="11.77734375" style="19" customWidth="1"/>
    <col min="18" max="18" width="9.5546875" style="4" customWidth="1"/>
    <col min="19" max="19" width="21.4453125" style="4" bestFit="1" customWidth="1"/>
    <col min="20" max="21" width="9.77734375" style="4" customWidth="1"/>
    <col min="22" max="22" width="12.77734375" style="4" customWidth="1"/>
    <col min="23" max="29" width="9.77734375" style="4" customWidth="1"/>
    <col min="30" max="31" width="5.77734375" style="4" customWidth="1"/>
    <col min="32" max="34" width="9.77734375" style="4" customWidth="1"/>
    <col min="35" max="35" width="12.77734375" style="4" customWidth="1"/>
    <col min="36" max="16384" width="9.77734375" style="4" customWidth="1"/>
  </cols>
  <sheetData>
    <row r="1" spans="1:24" ht="24.75" customHeight="1">
      <c r="A1" s="170" t="s">
        <v>122</v>
      </c>
      <c r="B1" s="129"/>
      <c r="C1" s="129"/>
      <c r="D1" s="129"/>
      <c r="E1" s="129"/>
      <c r="F1" s="129"/>
      <c r="G1" s="129"/>
      <c r="H1" s="29"/>
      <c r="I1" s="469" t="s">
        <v>124</v>
      </c>
      <c r="J1" s="469"/>
      <c r="K1" s="469"/>
      <c r="L1" s="469"/>
      <c r="M1" s="469"/>
      <c r="N1" s="469"/>
      <c r="O1" s="469"/>
      <c r="P1" s="469"/>
      <c r="Q1" s="469"/>
      <c r="R1" s="10"/>
      <c r="S1" s="10"/>
      <c r="T1" s="10"/>
      <c r="U1" s="10"/>
      <c r="V1" s="10"/>
      <c r="W1" s="10"/>
      <c r="X1" s="10"/>
    </row>
    <row r="2" spans="1:24" ht="24.75" customHeight="1">
      <c r="A2" s="129" t="s">
        <v>512</v>
      </c>
      <c r="B2" s="169"/>
      <c r="C2" s="169"/>
      <c r="D2" s="169"/>
      <c r="E2" s="169"/>
      <c r="F2" s="169"/>
      <c r="G2" s="169"/>
      <c r="H2" s="30"/>
      <c r="I2" s="30"/>
      <c r="J2" s="30"/>
      <c r="K2" s="30"/>
      <c r="L2" s="30"/>
      <c r="M2" s="30"/>
      <c r="N2" s="30"/>
      <c r="O2" s="30"/>
      <c r="P2" s="30"/>
      <c r="Q2" s="30"/>
      <c r="R2" s="10"/>
      <c r="S2" s="10"/>
      <c r="T2" s="10"/>
      <c r="U2" s="10"/>
      <c r="V2" s="10"/>
      <c r="W2" s="10"/>
      <c r="X2" s="10"/>
    </row>
    <row r="3" spans="1:24" ht="24.75" customHeight="1">
      <c r="A3" s="6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10"/>
      <c r="S3" s="10"/>
      <c r="T3" s="10"/>
      <c r="U3" s="10"/>
      <c r="V3" s="10"/>
      <c r="W3" s="10"/>
      <c r="X3" s="10"/>
    </row>
    <row r="4" spans="1:24" ht="24.75" customHeight="1">
      <c r="A4" s="478" t="s">
        <v>64</v>
      </c>
      <c r="B4" s="478"/>
      <c r="C4" s="478"/>
      <c r="D4" s="478"/>
      <c r="E4" s="478"/>
      <c r="F4" s="458">
        <v>2003</v>
      </c>
      <c r="G4" s="458">
        <v>2004</v>
      </c>
      <c r="H4" s="458">
        <v>2005</v>
      </c>
      <c r="I4" s="458">
        <v>2006</v>
      </c>
      <c r="J4" s="458">
        <v>2007</v>
      </c>
      <c r="K4" s="458">
        <v>2008</v>
      </c>
      <c r="L4" s="458">
        <v>2009</v>
      </c>
      <c r="M4" s="458">
        <v>2010</v>
      </c>
      <c r="N4" s="458">
        <v>2011</v>
      </c>
      <c r="O4" s="482">
        <v>2012</v>
      </c>
      <c r="P4" s="482" t="s">
        <v>499</v>
      </c>
      <c r="Q4" s="480" t="s">
        <v>26</v>
      </c>
      <c r="R4" s="10"/>
      <c r="S4" s="10"/>
      <c r="T4" s="10"/>
      <c r="U4" s="10"/>
      <c r="V4" s="10"/>
      <c r="W4" s="10"/>
      <c r="X4" s="10"/>
    </row>
    <row r="5" spans="1:24" ht="24.75" customHeight="1">
      <c r="A5" s="479"/>
      <c r="B5" s="479"/>
      <c r="C5" s="479"/>
      <c r="D5" s="479"/>
      <c r="E5" s="479"/>
      <c r="F5" s="459"/>
      <c r="G5" s="459"/>
      <c r="H5" s="459"/>
      <c r="I5" s="459"/>
      <c r="J5" s="459"/>
      <c r="K5" s="459"/>
      <c r="L5" s="459"/>
      <c r="M5" s="459"/>
      <c r="N5" s="459"/>
      <c r="O5" s="481"/>
      <c r="P5" s="481"/>
      <c r="Q5" s="481"/>
      <c r="R5" s="10"/>
      <c r="S5" s="10"/>
      <c r="T5" s="10"/>
      <c r="U5" s="10"/>
      <c r="V5" s="10"/>
      <c r="W5" s="10"/>
      <c r="X5" s="10"/>
    </row>
    <row r="6" spans="1:20" s="10" customFormat="1" ht="24.75" customHeight="1">
      <c r="A6" s="84"/>
      <c r="B6" s="84" t="s">
        <v>138</v>
      </c>
      <c r="C6" s="75"/>
      <c r="D6" s="75"/>
      <c r="E6" s="75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73"/>
      <c r="S6" s="15"/>
      <c r="T6" s="16"/>
    </row>
    <row r="7" spans="1:20" s="10" customFormat="1" ht="24.75" customHeight="1">
      <c r="A7" s="84"/>
      <c r="B7" s="84" t="s">
        <v>31</v>
      </c>
      <c r="C7" s="75"/>
      <c r="D7" s="75"/>
      <c r="E7" s="75"/>
      <c r="F7" s="287">
        <f>('C2 (Pág. 13)'!F13/'ipi est'!B$8)*100</f>
        <v>1746349.1629993375</v>
      </c>
      <c r="G7" s="287">
        <f>('C2 (Pág. 13)'!G13/'ipi est'!C$8)*100</f>
        <v>2109129.896116785</v>
      </c>
      <c r="H7" s="287">
        <f>('C2 (Pág. 13)'!H13/'ipi est'!D$8)*100</f>
        <v>2424393.6270310916</v>
      </c>
      <c r="I7" s="287">
        <f>('C2 (Pág. 13)'!I13/'ipi est'!E$8)*100</f>
        <v>2619257.0820282884</v>
      </c>
      <c r="J7" s="287">
        <f>('C2 (Pág. 13)'!J13/'ipi est'!F$8)*100</f>
        <v>2479553.421087775</v>
      </c>
      <c r="K7" s="287">
        <f>('C2 (Pág. 13)'!K13/'ipi est'!G$8)*100</f>
        <v>3014954.878970001</v>
      </c>
      <c r="L7" s="287">
        <f>('C2 (Pág. 13)'!L13/'ipi est'!H$8)*100</f>
        <v>3399659.1414712216</v>
      </c>
      <c r="M7" s="287">
        <f>('C2 (Pág. 13)'!M13/'ipi est'!I$8)*100</f>
        <v>4179015.601679246</v>
      </c>
      <c r="N7" s="287">
        <f>('C2 (Pág. 13)'!N13/'ipi est'!J$8)*100</f>
        <v>3483747.1253181254</v>
      </c>
      <c r="O7" s="287">
        <f>('C2 (Pág. 13)'!O13/'ipi est'!K$8)*100</f>
        <v>4184673.085961974</v>
      </c>
      <c r="P7" s="287">
        <f>('C2 (Pág. 13)'!R13/'ipi est'!L$8)*100</f>
        <v>5664240.888903559</v>
      </c>
      <c r="Q7" s="175">
        <f>(((P7/F7)^(1/10))-1)*100</f>
        <v>12.486670805445499</v>
      </c>
      <c r="S7" s="15"/>
      <c r="T7" s="16"/>
    </row>
    <row r="8" spans="1:20" s="46" customFormat="1" ht="24.75" customHeight="1">
      <c r="A8" s="156"/>
      <c r="B8" s="141"/>
      <c r="C8" s="141" t="s">
        <v>139</v>
      </c>
      <c r="D8" s="141"/>
      <c r="E8" s="141"/>
      <c r="F8" s="286">
        <f>('C2 (Pág. 13)'!F14/'ipi est'!B$8)*100</f>
        <v>885362.2819860938</v>
      </c>
      <c r="G8" s="286">
        <f>('C2 (Pág. 13)'!G14/'ipi est'!C$8)*100</f>
        <v>1332598.987986199</v>
      </c>
      <c r="H8" s="286">
        <f>('C2 (Pág. 13)'!H14/'ipi est'!D$8)*100</f>
        <v>1648519.8106352834</v>
      </c>
      <c r="I8" s="286">
        <f>('C2 (Pág. 13)'!I14/'ipi est'!E$8)*100</f>
        <v>1996828.849543831</v>
      </c>
      <c r="J8" s="286">
        <f>('C2 (Pág. 13)'!J14/'ipi est'!F$8)*100</f>
        <v>2333038.207397905</v>
      </c>
      <c r="K8" s="286">
        <f>('C2 (Pág. 13)'!K14/'ipi est'!G$8)*100</f>
        <v>2887879.366609999</v>
      </c>
      <c r="L8" s="286">
        <f>('C2 (Pág. 13)'!L14/'ipi est'!H$8)*100</f>
        <v>3221557.519287636</v>
      </c>
      <c r="M8" s="286">
        <f>('C2 (Pág. 13)'!M14/'ipi est'!I$8)*100</f>
        <v>3952277.466969261</v>
      </c>
      <c r="N8" s="286">
        <f>('C2 (Pág. 13)'!N14/'ipi est'!J$8)*100</f>
        <v>3279261.9071749905</v>
      </c>
      <c r="O8" s="286">
        <f>('C2 (Pág. 13)'!Q14/'ipi est'!J$8)*100</f>
        <v>107649455.881109</v>
      </c>
      <c r="P8" s="286">
        <f>('C2 (Pág. 13)'!R14/'ipi est'!K$8)*100</f>
        <v>5811645.690092967</v>
      </c>
      <c r="Q8" s="174">
        <f>(((P8/F8)^(1/10))-1)*100</f>
        <v>20.70292967163585</v>
      </c>
      <c r="S8" s="48"/>
      <c r="T8" s="49"/>
    </row>
    <row r="9" spans="1:20" s="10" customFormat="1" ht="24.75" customHeight="1">
      <c r="A9" s="84"/>
      <c r="B9" s="84"/>
      <c r="C9" s="84" t="s">
        <v>96</v>
      </c>
      <c r="D9" s="84"/>
      <c r="E9" s="84"/>
      <c r="F9" s="287">
        <f>('C2 (Pág. 13)'!F15/'ipi est'!B$8)*100</f>
        <v>860986.8810132437</v>
      </c>
      <c r="G9" s="287">
        <f>('C2 (Pág. 13)'!G15/'ipi est'!C$8)*100</f>
        <v>776530.908130586</v>
      </c>
      <c r="H9" s="287">
        <f>('C2 (Pág. 13)'!H15/'ipi est'!D$8)*100</f>
        <v>775873.8163958082</v>
      </c>
      <c r="I9" s="287">
        <f>('C2 (Pág. 13)'!I15/'ipi est'!E$8)*100</f>
        <v>622428.2324844571</v>
      </c>
      <c r="J9" s="287">
        <f>('C2 (Pág. 13)'!J15/'ipi est'!F$8)*100</f>
        <v>146515.21368987043</v>
      </c>
      <c r="K9" s="287">
        <f>('C2 (Pág. 13)'!K15/'ipi est'!G$8)*100</f>
        <v>127075.51236</v>
      </c>
      <c r="L9" s="287">
        <f>('C2 (Pág. 13)'!L15/'ipi est'!H$8)*100</f>
        <v>178101.62218358545</v>
      </c>
      <c r="M9" s="287">
        <f>('C2 (Pág. 13)'!M15/'ipi est'!I$8)*100</f>
        <v>226738.1347099847</v>
      </c>
      <c r="N9" s="287">
        <f>('C2 (Pág. 13)'!N15/'ipi est'!J$8)*100</f>
        <v>204485.21814313516</v>
      </c>
      <c r="O9" s="287">
        <f>('C2 (Pág. 13)'!Q15/'ipi est'!J$8)*100</f>
        <v>13443682.054802267</v>
      </c>
      <c r="P9" s="287">
        <f>('C2 (Pág. 13)'!R15/'ipi est'!K$8)*100</f>
        <v>228317.4080223563</v>
      </c>
      <c r="Q9" s="175">
        <f>(((P9/F9)^(1/10))-1)*100</f>
        <v>-12.430221915929462</v>
      </c>
      <c r="S9" s="15"/>
      <c r="T9" s="16"/>
    </row>
    <row r="10" spans="1:20" s="10" customFormat="1" ht="24.75" customHeight="1">
      <c r="A10" s="122" t="s">
        <v>549</v>
      </c>
      <c r="B10" s="84"/>
      <c r="C10" s="84"/>
      <c r="D10" s="84"/>
      <c r="E10" s="84"/>
      <c r="F10" s="287"/>
      <c r="G10" s="287"/>
      <c r="H10" s="287"/>
      <c r="I10" s="287"/>
      <c r="J10" s="287"/>
      <c r="K10" s="287"/>
      <c r="L10" s="287"/>
      <c r="M10" s="287"/>
      <c r="N10" s="287"/>
      <c r="O10" s="288"/>
      <c r="P10" s="288"/>
      <c r="Q10" s="175"/>
      <c r="S10" s="15"/>
      <c r="T10" s="16"/>
    </row>
    <row r="11" spans="1:20" s="10" customFormat="1" ht="24.75" customHeight="1">
      <c r="A11" s="84"/>
      <c r="B11" s="84" t="s">
        <v>140</v>
      </c>
      <c r="C11" s="84"/>
      <c r="D11" s="84"/>
      <c r="E11" s="84"/>
      <c r="F11" s="287"/>
      <c r="G11" s="287"/>
      <c r="H11" s="287"/>
      <c r="I11" s="287"/>
      <c r="J11" s="287"/>
      <c r="K11" s="287"/>
      <c r="L11" s="287"/>
      <c r="M11" s="287"/>
      <c r="N11" s="287"/>
      <c r="O11" s="288"/>
      <c r="P11" s="288"/>
      <c r="Q11" s="175"/>
      <c r="S11" s="15"/>
      <c r="T11" s="16"/>
    </row>
    <row r="12" spans="1:20" s="46" customFormat="1" ht="24.75" customHeight="1">
      <c r="A12" s="141"/>
      <c r="B12" s="141" t="s">
        <v>31</v>
      </c>
      <c r="C12" s="141"/>
      <c r="D12" s="141"/>
      <c r="E12" s="141"/>
      <c r="F12" s="286">
        <f>('C2 (Pág. 13)'!F25/'ipi est'!B$8)*100</f>
        <v>5453029.97198201</v>
      </c>
      <c r="G12" s="286">
        <f>('C2 (Pág. 13)'!G25/'ipi est'!C$8)*100</f>
        <v>6051322.89434399</v>
      </c>
      <c r="H12" s="286">
        <f>('C2 (Pág. 13)'!H25/'ipi est'!D$8)*100</f>
        <v>5512389.121127716</v>
      </c>
      <c r="I12" s="286">
        <f>('C2 (Pág. 13)'!I25/'ipi est'!E$8)*100</f>
        <v>5356948.695645421</v>
      </c>
      <c r="J12" s="286">
        <f>('C2 (Pág. 13)'!J25/'ipi est'!F$8)*100</f>
        <v>5561741.964572576</v>
      </c>
      <c r="K12" s="286">
        <f>('C2 (Pág. 13)'!K25/'ipi est'!G$8)*100</f>
        <v>4746037</v>
      </c>
      <c r="L12" s="286">
        <f>('C2 (Pág. 13)'!L25/'ipi est'!H$8)*100</f>
        <v>4792548.449589719</v>
      </c>
      <c r="M12" s="286">
        <f>('C2 (Pág. 13)'!M25/'ipi est'!I$8)*100</f>
        <v>5028351.092497053</v>
      </c>
      <c r="N12" s="286">
        <f>('C2 (Pág. 13)'!N25/'ipi est'!J$8)*100</f>
        <v>4834247.462583679</v>
      </c>
      <c r="O12" s="286">
        <f>('C2 (Pág. 13)'!O25/'ipi est'!K$8)*100</f>
        <v>4684683.600708012</v>
      </c>
      <c r="P12" s="286">
        <f>('C2 (Pág. 13)'!R25/'ipi est'!L$8)*100</f>
        <v>4677146.533165098</v>
      </c>
      <c r="Q12" s="174">
        <f>(((P12/F12)^(1/10))-1)*100</f>
        <v>-1.5231135179832545</v>
      </c>
      <c r="S12" s="48"/>
      <c r="T12" s="49"/>
    </row>
    <row r="13" spans="1:24" ht="24.75" customHeight="1">
      <c r="A13" s="122" t="s">
        <v>550</v>
      </c>
      <c r="B13" s="84"/>
      <c r="C13" s="84"/>
      <c r="D13" s="84"/>
      <c r="E13" s="84"/>
      <c r="F13" s="284"/>
      <c r="G13" s="284"/>
      <c r="H13" s="284"/>
      <c r="I13" s="284"/>
      <c r="J13" s="284"/>
      <c r="K13" s="284"/>
      <c r="L13" s="284"/>
      <c r="M13" s="284"/>
      <c r="N13" s="284"/>
      <c r="O13" s="289"/>
      <c r="P13" s="289"/>
      <c r="Q13" s="175"/>
      <c r="R13" s="10"/>
      <c r="S13" s="15"/>
      <c r="T13" s="10"/>
      <c r="U13" s="10"/>
      <c r="V13" s="10"/>
      <c r="W13" s="10"/>
      <c r="X13" s="10"/>
    </row>
    <row r="14" spans="1:24" ht="24.75" customHeight="1">
      <c r="A14" s="84"/>
      <c r="B14" s="84" t="s">
        <v>102</v>
      </c>
      <c r="C14" s="84"/>
      <c r="D14" s="84"/>
      <c r="E14" s="84"/>
      <c r="F14" s="284"/>
      <c r="G14" s="284"/>
      <c r="H14" s="284"/>
      <c r="I14" s="284"/>
      <c r="J14" s="284"/>
      <c r="K14" s="284"/>
      <c r="L14" s="284"/>
      <c r="M14" s="284"/>
      <c r="N14" s="284"/>
      <c r="O14" s="289"/>
      <c r="P14" s="289"/>
      <c r="Q14" s="175"/>
      <c r="R14" s="10"/>
      <c r="S14" s="15"/>
      <c r="T14" s="10"/>
      <c r="U14" s="10"/>
      <c r="V14" s="10"/>
      <c r="W14" s="10"/>
      <c r="X14" s="10"/>
    </row>
    <row r="15" spans="1:24" ht="24.75" customHeight="1">
      <c r="A15" s="84"/>
      <c r="B15" s="84" t="s">
        <v>31</v>
      </c>
      <c r="C15" s="84"/>
      <c r="D15" s="84"/>
      <c r="E15" s="84"/>
      <c r="F15" s="287">
        <f>('C2 (Pág. 13)'!F32/'ipi est'!B$8)*100</f>
        <v>260209.9272808554</v>
      </c>
      <c r="G15" s="287">
        <f>('C2 (Pág. 13)'!G32/'ipi est'!C$8)*100</f>
        <v>278386.61479023204</v>
      </c>
      <c r="H15" s="287">
        <f>('C2 (Pág. 13)'!H32/'ipi est'!D$8)*100</f>
        <v>182264.747015957</v>
      </c>
      <c r="I15" s="287">
        <f>('C2 (Pág. 13)'!I32/'ipi est'!E$8)*100</f>
        <v>107595.88858630281</v>
      </c>
      <c r="J15" s="287">
        <f>('C2 (Pág. 13)'!J32/'ipi est'!F$8)*100</f>
        <v>94148.15349151354</v>
      </c>
      <c r="K15" s="287">
        <f>('C2 (Pág. 13)'!K32/'ipi est'!G$8)*100</f>
        <v>98812</v>
      </c>
      <c r="L15" s="287">
        <f>('C2 (Pág. 13)'!L32/'ipi est'!H$8)*100</f>
        <v>117611.24492449992</v>
      </c>
      <c r="M15" s="287">
        <f>('C2 (Pág. 13)'!M32/'ipi est'!I$8)*100</f>
        <v>151063.37126623944</v>
      </c>
      <c r="N15" s="287">
        <f>('C2 (Pág. 13)'!N32/'ipi est'!J$8)*100</f>
        <v>131337.74382328175</v>
      </c>
      <c r="O15" s="287">
        <f>('C2 (Pág. 13)'!O32/'ipi est'!K$8)*100</f>
        <v>126050.30844331971</v>
      </c>
      <c r="P15" s="287">
        <f>('C2 (Pág. 13)'!R32/'ipi est'!L$8)*100</f>
        <v>120291.7983342956</v>
      </c>
      <c r="Q15" s="175">
        <f>(((P15/F15)^(1/10))-1)*100</f>
        <v>-7.425533990348976</v>
      </c>
      <c r="R15" s="10"/>
      <c r="S15" s="15"/>
      <c r="T15" s="16"/>
      <c r="U15" s="10"/>
      <c r="V15" s="10"/>
      <c r="W15" s="10"/>
      <c r="X15" s="10"/>
    </row>
    <row r="16" spans="1:24" ht="24.75" customHeight="1">
      <c r="A16" s="122" t="s">
        <v>551</v>
      </c>
      <c r="B16" s="84"/>
      <c r="C16" s="84"/>
      <c r="D16" s="84"/>
      <c r="E16" s="84"/>
      <c r="F16" s="283"/>
      <c r="G16" s="283"/>
      <c r="H16" s="283"/>
      <c r="I16" s="283"/>
      <c r="J16" s="283"/>
      <c r="K16" s="283"/>
      <c r="L16" s="283"/>
      <c r="M16" s="283"/>
      <c r="N16" s="283"/>
      <c r="O16" s="289"/>
      <c r="P16" s="289"/>
      <c r="Q16" s="175"/>
      <c r="R16" s="10"/>
      <c r="S16" s="15"/>
      <c r="T16" s="10"/>
      <c r="U16" s="10"/>
      <c r="V16" s="10"/>
      <c r="W16" s="10"/>
      <c r="X16" s="10"/>
    </row>
    <row r="17" spans="1:24" ht="24.75" customHeight="1">
      <c r="A17" s="84"/>
      <c r="B17" s="84" t="s">
        <v>383</v>
      </c>
      <c r="C17" s="84"/>
      <c r="D17" s="84"/>
      <c r="E17" s="84"/>
      <c r="F17" s="287"/>
      <c r="G17" s="287"/>
      <c r="H17" s="287"/>
      <c r="I17" s="287"/>
      <c r="J17" s="287"/>
      <c r="K17" s="287"/>
      <c r="L17" s="287"/>
      <c r="M17" s="287"/>
      <c r="N17" s="287"/>
      <c r="O17" s="289"/>
      <c r="P17" s="289"/>
      <c r="Q17" s="175"/>
      <c r="R17" s="10"/>
      <c r="S17" s="15"/>
      <c r="T17" s="16"/>
      <c r="U17" s="10"/>
      <c r="V17" s="10"/>
      <c r="W17" s="10"/>
      <c r="X17" s="10"/>
    </row>
    <row r="18" spans="1:24" s="45" customFormat="1" ht="24.75" customHeight="1">
      <c r="A18" s="141"/>
      <c r="B18" s="141" t="s">
        <v>31</v>
      </c>
      <c r="C18" s="141"/>
      <c r="D18" s="141"/>
      <c r="E18" s="141"/>
      <c r="F18" s="286">
        <f>('C2 (Pág. 13)'!F37/'ipi est'!B$8)*100</f>
        <v>287891.71623668383</v>
      </c>
      <c r="G18" s="286">
        <f>('C2 (Pág. 13)'!G37/'ipi est'!C$8)*100</f>
        <v>259247.14590527324</v>
      </c>
      <c r="H18" s="286">
        <f>('C2 (Pág. 13)'!H37/'ipi est'!D$8)*100</f>
        <v>234346.15181489676</v>
      </c>
      <c r="I18" s="286">
        <f>('C2 (Pág. 13)'!I37/'ipi est'!E$8)*100</f>
        <v>244512.0452286872</v>
      </c>
      <c r="J18" s="286">
        <f>('C2 (Pág. 13)'!J37/'ipi est'!F$8)*100</f>
        <v>266223.3360128179</v>
      </c>
      <c r="K18" s="286">
        <f>('C2 (Pág. 13)'!K37/'ipi est'!G$8)*100</f>
        <v>351015.13</v>
      </c>
      <c r="L18" s="286">
        <f>('C2 (Pág. 13)'!L37/'ipi est'!H$8)*100</f>
        <v>401200.04491330544</v>
      </c>
      <c r="M18" s="286">
        <f>('C2 (Pág. 13)'!M37/'ipi est'!I$8)*100</f>
        <v>471265.65291995386</v>
      </c>
      <c r="N18" s="286">
        <f>('C2 (Pág. 13)'!N37/'ipi est'!J$8)*100</f>
        <v>550303.6680555688</v>
      </c>
      <c r="O18" s="286">
        <f>('C2 (Pág. 13)'!O37/'ipi est'!K$8)*100</f>
        <v>576287.8453725282</v>
      </c>
      <c r="P18" s="286">
        <f>('C2 (Pág. 13)'!R37/'ipi est'!L$8)*100</f>
        <v>376145.33847067057</v>
      </c>
      <c r="Q18" s="174">
        <f>(((P18/F18)^(1/10))-1)*100</f>
        <v>2.709981626685165</v>
      </c>
      <c r="R18" s="46"/>
      <c r="S18" s="48"/>
      <c r="T18" s="49"/>
      <c r="U18" s="46"/>
      <c r="V18" s="46"/>
      <c r="W18" s="46"/>
      <c r="X18" s="46"/>
    </row>
    <row r="19" spans="1:24" ht="24.75" customHeight="1">
      <c r="A19" s="122" t="s">
        <v>552</v>
      </c>
      <c r="B19" s="84"/>
      <c r="C19" s="84"/>
      <c r="D19" s="84"/>
      <c r="E19" s="84"/>
      <c r="F19" s="284"/>
      <c r="G19" s="284"/>
      <c r="H19" s="284"/>
      <c r="I19" s="284"/>
      <c r="J19" s="284"/>
      <c r="K19" s="284"/>
      <c r="L19" s="284"/>
      <c r="M19" s="284"/>
      <c r="N19" s="284"/>
      <c r="O19" s="289"/>
      <c r="P19" s="289"/>
      <c r="Q19" s="175"/>
      <c r="R19" s="10"/>
      <c r="S19" s="15"/>
      <c r="T19" s="10"/>
      <c r="U19" s="10"/>
      <c r="V19" s="10"/>
      <c r="W19" s="10"/>
      <c r="X19" s="10"/>
    </row>
    <row r="20" spans="1:24" ht="24.75" customHeight="1">
      <c r="A20" s="84"/>
      <c r="B20" s="84" t="s">
        <v>105</v>
      </c>
      <c r="C20" s="84"/>
      <c r="D20" s="84"/>
      <c r="E20" s="84"/>
      <c r="F20" s="287"/>
      <c r="G20" s="287"/>
      <c r="H20" s="287"/>
      <c r="I20" s="287"/>
      <c r="J20" s="287"/>
      <c r="K20" s="287"/>
      <c r="L20" s="287"/>
      <c r="M20" s="287"/>
      <c r="N20" s="287"/>
      <c r="O20" s="289"/>
      <c r="P20" s="289"/>
      <c r="Q20" s="175"/>
      <c r="R20" s="10"/>
      <c r="S20" s="15"/>
      <c r="T20" s="16"/>
      <c r="U20" s="10"/>
      <c r="V20" s="10"/>
      <c r="W20" s="10"/>
      <c r="X20" s="10"/>
    </row>
    <row r="21" spans="1:24" ht="24.75" customHeight="1">
      <c r="A21" s="84"/>
      <c r="B21" s="84" t="s">
        <v>31</v>
      </c>
      <c r="C21" s="84"/>
      <c r="D21" s="84"/>
      <c r="E21" s="84"/>
      <c r="F21" s="287">
        <f>('C2 (Pág. 13)'!F40/'ipi est'!B$10)*100</f>
        <v>2689298.82105099</v>
      </c>
      <c r="G21" s="287">
        <f>('C2 (Pág. 13)'!G40/'ipi est'!C$10)*100</f>
        <v>2675669.0404288694</v>
      </c>
      <c r="H21" s="287">
        <f>('C2 (Pág. 13)'!H40/'ipi est'!D$10)*100</f>
        <v>3069168.2675659214</v>
      </c>
      <c r="I21" s="287">
        <f>('C2 (Pág. 13)'!I40/'ipi est'!E$10)*100</f>
        <v>3574972.2544803233</v>
      </c>
      <c r="J21" s="287">
        <f>('C2 (Pág. 13)'!J40/'ipi est'!F$10)*100</f>
        <v>3623211.7129005776</v>
      </c>
      <c r="K21" s="287">
        <f>('C2 (Pág. 13)'!K40/'ipi est'!G$10)*100</f>
        <v>3476819.9999999995</v>
      </c>
      <c r="L21" s="287">
        <f>('C2 (Pág. 13)'!L40/'ipi est'!H$10)*100</f>
        <v>3619968.668303758</v>
      </c>
      <c r="M21" s="287">
        <f>('C2 (Pág. 13)'!M40/'ipi est'!I$10)*100</f>
        <v>3722784.3932176125</v>
      </c>
      <c r="N21" s="287">
        <f>('C2 (Pág. 13)'!N40/'ipi est'!J$10)*100</f>
        <v>4389266.501765763</v>
      </c>
      <c r="O21" s="287">
        <f>('C2 (Pág. 13)'!O40/'ipi est'!K$10)*100</f>
        <v>4732724.022115978</v>
      </c>
      <c r="P21" s="287">
        <f>('C2 (Pág. 13)'!R40/'ipi est'!L$10)*100</f>
        <v>5067662.7042075405</v>
      </c>
      <c r="Q21" s="175">
        <f>(((P21/F21)^(1/10))-1)*100</f>
        <v>6.541023352472419</v>
      </c>
      <c r="R21" s="10"/>
      <c r="S21" s="15"/>
      <c r="T21" s="16"/>
      <c r="U21" s="10"/>
      <c r="V21" s="10"/>
      <c r="W21" s="10"/>
      <c r="X21" s="10"/>
    </row>
    <row r="22" spans="1:24" s="45" customFormat="1" ht="24.75" customHeight="1">
      <c r="A22" s="141"/>
      <c r="B22" s="141" t="s">
        <v>141</v>
      </c>
      <c r="C22" s="141"/>
      <c r="D22" s="141"/>
      <c r="E22" s="141"/>
      <c r="F22" s="286">
        <f>('C2 (Pág. 13)'!F41/'ipi est'!B$10)*100</f>
        <v>474767.5797301298</v>
      </c>
      <c r="G22" s="286">
        <f>('C2 (Pág. 13)'!G41/'ipi est'!C$10)*100</f>
        <v>581110.1051993108</v>
      </c>
      <c r="H22" s="286">
        <f>('C2 (Pág. 13)'!H41/'ipi est'!D$10)*100</f>
        <v>745167.0242562904</v>
      </c>
      <c r="I22" s="286">
        <f>('C2 (Pág. 13)'!I41/'ipi est'!E$10)*100</f>
        <v>946571.9706402548</v>
      </c>
      <c r="J22" s="286">
        <f>('C2 (Pág. 13)'!J41/'ipi est'!F$10)*100</f>
        <v>930675.7185577346</v>
      </c>
      <c r="K22" s="286">
        <f>('C2 (Pág. 13)'!K41/'ipi est'!G$10)*100</f>
        <v>1161007.7</v>
      </c>
      <c r="L22" s="286">
        <f>('C2 (Pág. 13)'!L41/'ipi est'!H$10)*100</f>
        <v>1391399.7002954888</v>
      </c>
      <c r="M22" s="286">
        <f>('C2 (Pág. 13)'!M41/'ipi est'!I$10)*100</f>
        <v>1588829.2012382334</v>
      </c>
      <c r="N22" s="286">
        <f>('C2 (Pág. 13)'!N41/'ipi est'!J$10)*100</f>
        <v>2315037.4816349177</v>
      </c>
      <c r="O22" s="286">
        <f>('C2 (Pág. 13)'!Q41/'ipi est'!J$10)*100</f>
        <v>128827968.04185833</v>
      </c>
      <c r="P22" s="286">
        <f>('C2 (Pág. 13)'!R41/'ipi est'!K$10)*100</f>
        <v>2468781.0738470266</v>
      </c>
      <c r="Q22" s="174">
        <f>(((P22/F22)^(1/10))-1)*100</f>
        <v>17.923443461221723</v>
      </c>
      <c r="R22" s="46"/>
      <c r="S22" s="48"/>
      <c r="T22" s="49"/>
      <c r="U22" s="46"/>
      <c r="V22" s="46"/>
      <c r="W22" s="46"/>
      <c r="X22" s="46"/>
    </row>
    <row r="23" spans="1:24" ht="24.75" customHeight="1">
      <c r="A23" s="122"/>
      <c r="B23" s="84"/>
      <c r="C23" s="84" t="s">
        <v>107</v>
      </c>
      <c r="D23" s="84"/>
      <c r="E23" s="84"/>
      <c r="F23" s="287">
        <f>('C2 (Pág. 13)'!F42/'ipi est'!B$10)*100</f>
        <v>126772.98032937397</v>
      </c>
      <c r="G23" s="287">
        <f>('C2 (Pág. 13)'!G42/'ipi est'!C$10)*100</f>
        <v>147153.72968043317</v>
      </c>
      <c r="H23" s="287">
        <f>('C2 (Pág. 13)'!H42/'ipi est'!D$10)*100</f>
        <v>160432.71411742843</v>
      </c>
      <c r="I23" s="287">
        <f>('C2 (Pág. 13)'!I42/'ipi est'!E$10)*100</f>
        <v>153708.64011169702</v>
      </c>
      <c r="J23" s="287">
        <f>('C2 (Pág. 13)'!J42/'ipi est'!F$10)*100</f>
        <v>185534.32672990972</v>
      </c>
      <c r="K23" s="287">
        <f>('C2 (Pág. 13)'!K42/'ipi est'!G$10)*100</f>
        <v>241762.1</v>
      </c>
      <c r="L23" s="287">
        <f>('C2 (Pág. 13)'!L42/'ipi est'!H$10)*100</f>
        <v>320963.447612394</v>
      </c>
      <c r="M23" s="287">
        <f>('C2 (Pág. 13)'!M42/'ipi est'!I$10)*100</f>
        <v>333480.6109807655</v>
      </c>
      <c r="N23" s="287">
        <f>('C2 (Pág. 13)'!N42/'ipi est'!J$10)*100</f>
        <v>409763.88773998676</v>
      </c>
      <c r="O23" s="287">
        <f>('C2 (Pág. 13)'!Q42/'ipi est'!J$10)*100</f>
        <v>51808796.96573854</v>
      </c>
      <c r="P23" s="287">
        <f>('C2 (Pág. 13)'!R42/'ipi est'!K$10)*100</f>
        <v>619229.7465755435</v>
      </c>
      <c r="Q23" s="175">
        <f>(((P23/F23)^(1/10))-1)*100</f>
        <v>17.187829640452044</v>
      </c>
      <c r="R23" s="10"/>
      <c r="S23" s="15"/>
      <c r="T23" s="16"/>
      <c r="U23" s="10"/>
      <c r="V23" s="10"/>
      <c r="W23" s="10"/>
      <c r="X23" s="10"/>
    </row>
    <row r="24" spans="1:24" s="45" customFormat="1" ht="24.75" customHeight="1">
      <c r="A24" s="161"/>
      <c r="B24" s="141"/>
      <c r="C24" s="141" t="s">
        <v>108</v>
      </c>
      <c r="D24" s="141"/>
      <c r="E24" s="141"/>
      <c r="F24" s="286">
        <f>('C2 (Pág. 13)'!F43/'ipi est'!B$10)*100</f>
        <v>320087.4918819945</v>
      </c>
      <c r="G24" s="286">
        <f>('C2 (Pág. 13)'!G43/'ipi est'!C$10)*100</f>
        <v>372016.14820142643</v>
      </c>
      <c r="H24" s="286">
        <f>('C2 (Pág. 13)'!H43/'ipi est'!D$10)*100</f>
        <v>482156.1811517174</v>
      </c>
      <c r="I24" s="286">
        <f>('C2 (Pág. 13)'!I43/'ipi est'!E$10)*100</f>
        <v>608313.9772975673</v>
      </c>
      <c r="J24" s="286">
        <f>('C2 (Pág. 13)'!J43/'ipi est'!F$10)*100</f>
        <v>634716.3489108048</v>
      </c>
      <c r="K24" s="286">
        <f>('C2 (Pág. 13)'!K43/'ipi est'!G$10)*100</f>
        <v>804430.3</v>
      </c>
      <c r="L24" s="286">
        <f>('C2 (Pág. 13)'!L43/'ipi est'!H$10)*100</f>
        <v>947030.1232473681</v>
      </c>
      <c r="M24" s="286">
        <f>('C2 (Pág. 13)'!M43/'ipi est'!I$10)*100</f>
        <v>1114938.6482866446</v>
      </c>
      <c r="N24" s="286">
        <f>('C2 (Pág. 13)'!N43/'ipi est'!J$10)*100</f>
        <v>1748146.1646812793</v>
      </c>
      <c r="O24" s="286">
        <f>('C2 (Pág. 13)'!Q43/'ipi est'!J$10)*100</f>
        <v>43011798.40070818</v>
      </c>
      <c r="P24" s="286">
        <f>('C2 (Pág. 13)'!R43/'ipi est'!K$10)*100</f>
        <v>1686427.876973768</v>
      </c>
      <c r="Q24" s="174">
        <f>(((P24/F24)^(1/10))-1)*100</f>
        <v>18.078249706975203</v>
      </c>
      <c r="R24" s="46"/>
      <c r="S24" s="48"/>
      <c r="T24" s="49"/>
      <c r="U24" s="46"/>
      <c r="V24" s="46"/>
      <c r="W24" s="46"/>
      <c r="X24" s="46"/>
    </row>
    <row r="25" spans="1:24" ht="24.75" customHeight="1">
      <c r="A25" s="122"/>
      <c r="B25" s="84"/>
      <c r="C25" s="84" t="s">
        <v>109</v>
      </c>
      <c r="D25" s="84"/>
      <c r="E25" s="84"/>
      <c r="F25" s="287">
        <f>('C2 (Pág. 13)'!F44/'ipi est'!B$10)*100</f>
        <v>27907.107518761422</v>
      </c>
      <c r="G25" s="287">
        <f>('C2 (Pág. 13)'!G44/'ipi est'!C$10)*100</f>
        <v>61940.22731745121</v>
      </c>
      <c r="H25" s="287">
        <f>('C2 (Pág. 13)'!H44/'ipi est'!D$10)*100</f>
        <v>102578.1289871445</v>
      </c>
      <c r="I25" s="287">
        <f>('C2 (Pág. 13)'!I44/'ipi est'!E$10)*100</f>
        <v>184549.35323099035</v>
      </c>
      <c r="J25" s="287">
        <f>('C2 (Pág. 13)'!J44/'ipi est'!F$10)*100</f>
        <v>110425.04291701986</v>
      </c>
      <c r="K25" s="287">
        <f>('C2 (Pág. 13)'!K44/'ipi est'!G$10)*100</f>
        <v>114815.3</v>
      </c>
      <c r="L25" s="287">
        <f>('C2 (Pág. 13)'!L44/'ipi est'!H$10)*100</f>
        <v>123406.12943572665</v>
      </c>
      <c r="M25" s="287">
        <f>('C2 (Pág. 13)'!M44/'ipi est'!I$10)*100</f>
        <v>140409.9419708231</v>
      </c>
      <c r="N25" s="287">
        <f>('C2 (Pág. 13)'!N44/'ipi est'!J$10)*100</f>
        <v>157127.4292136513</v>
      </c>
      <c r="O25" s="287">
        <f>('C2 (Pág. 13)'!Q44/'ipi est'!J$10)*100</f>
        <v>34007372.675411604</v>
      </c>
      <c r="P25" s="287">
        <f>('C2 (Pág. 13)'!R44/'ipi est'!K$10)*100</f>
        <v>163123.4502977151</v>
      </c>
      <c r="Q25" s="175">
        <f>(((P25/F25)^(1/10))-1)*100</f>
        <v>19.31090977544074</v>
      </c>
      <c r="R25" s="10"/>
      <c r="S25" s="15"/>
      <c r="T25" s="16"/>
      <c r="U25" s="10"/>
      <c r="V25" s="10"/>
      <c r="W25" s="10"/>
      <c r="X25" s="10"/>
    </row>
    <row r="26" spans="1:24" ht="24.75" customHeight="1">
      <c r="A26" s="122" t="s">
        <v>553</v>
      </c>
      <c r="B26" s="84"/>
      <c r="C26" s="84"/>
      <c r="D26" s="84"/>
      <c r="E26" s="84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175"/>
      <c r="R26" s="10"/>
      <c r="S26" s="15"/>
      <c r="T26" s="10"/>
      <c r="U26" s="10"/>
      <c r="V26" s="10"/>
      <c r="W26" s="10"/>
      <c r="X26" s="10"/>
    </row>
    <row r="27" spans="1:24" ht="24.75" customHeight="1">
      <c r="A27" s="84"/>
      <c r="B27" s="84" t="s">
        <v>112</v>
      </c>
      <c r="C27" s="84"/>
      <c r="D27" s="84"/>
      <c r="E27" s="84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175"/>
      <c r="R27" s="10"/>
      <c r="S27" s="15"/>
      <c r="T27" s="16"/>
      <c r="U27" s="10"/>
      <c r="V27" s="10"/>
      <c r="W27" s="10"/>
      <c r="X27" s="10"/>
    </row>
    <row r="28" spans="1:24" s="45" customFormat="1" ht="24.75" customHeight="1">
      <c r="A28" s="141"/>
      <c r="B28" s="141" t="s">
        <v>31</v>
      </c>
      <c r="C28" s="141"/>
      <c r="D28" s="141"/>
      <c r="E28" s="141"/>
      <c r="F28" s="286">
        <f>('C2 (Pág. 13)'!F49/'ipi est'!B$11)*100</f>
        <v>16769725.499802027</v>
      </c>
      <c r="G28" s="286">
        <f>('C2 (Pág. 13)'!G49/'ipi est'!C$11)*100</f>
        <v>16081506.658862075</v>
      </c>
      <c r="H28" s="286">
        <f>('C2 (Pág. 13)'!H49/'ipi est'!D$11)*100</f>
        <v>18297090.64675166</v>
      </c>
      <c r="I28" s="286">
        <f>('C2 (Pág. 13)'!I49/'ipi est'!E$11)*100</f>
        <v>21241237.2488664</v>
      </c>
      <c r="J28" s="286">
        <f>('C2 (Pág. 13)'!J49/'ipi est'!F$11)*100</f>
        <v>21908901.29578596</v>
      </c>
      <c r="K28" s="286">
        <f>('C2 (Pág. 13)'!K49/'ipi est'!G$11)*100</f>
        <v>23212159</v>
      </c>
      <c r="L28" s="286">
        <f>('C2 (Pág. 13)'!L49/'ipi est'!H$11)*100</f>
        <v>18516371.248801112</v>
      </c>
      <c r="M28" s="286">
        <f>('C2 (Pág. 13)'!M49/'ipi est'!I$11)*100</f>
        <v>23218470.73828731</v>
      </c>
      <c r="N28" s="286">
        <f>('C2 (Pág. 13)'!N49/'ipi est'!J$11)*100</f>
        <v>26030775.195696373</v>
      </c>
      <c r="O28" s="286">
        <f>('C2 (Pág. 13)'!Q49/'ipi est'!J$11)*100</f>
        <v>309320302.0577222</v>
      </c>
      <c r="P28" s="286">
        <f>('C2 (Pág. 13)'!R49/'ipi est'!K$11)*100</f>
        <v>28274483.519094862</v>
      </c>
      <c r="Q28" s="174">
        <f>(((P28/F28)^(1/10))-1)*100</f>
        <v>5.362695499890369</v>
      </c>
      <c r="R28" s="46"/>
      <c r="S28" s="48"/>
      <c r="T28" s="49"/>
      <c r="U28" s="46"/>
      <c r="V28" s="46"/>
      <c r="W28" s="46"/>
      <c r="X28" s="46"/>
    </row>
    <row r="29" spans="1:24" ht="24.75" customHeight="1">
      <c r="A29" s="51"/>
      <c r="B29" s="51"/>
      <c r="C29" s="51"/>
      <c r="D29" s="51"/>
      <c r="E29" s="51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5"/>
      <c r="R29" s="10"/>
      <c r="S29" s="10"/>
      <c r="T29" s="16"/>
      <c r="U29" s="10"/>
      <c r="V29" s="10"/>
      <c r="W29" s="10"/>
      <c r="X29" s="10"/>
    </row>
    <row r="30" spans="1:24" s="36" customFormat="1" ht="36" customHeight="1">
      <c r="A30" s="483" t="s">
        <v>606</v>
      </c>
      <c r="B30" s="483"/>
      <c r="C30" s="483"/>
      <c r="D30" s="483"/>
      <c r="E30" s="483"/>
      <c r="F30" s="483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34"/>
      <c r="S30" s="34"/>
      <c r="T30" s="34"/>
      <c r="U30" s="34"/>
      <c r="V30" s="34"/>
      <c r="W30" s="34"/>
      <c r="X30" s="34"/>
    </row>
    <row r="31" spans="1:24" s="36" customFormat="1" ht="15.75">
      <c r="A31" s="485" t="s">
        <v>607</v>
      </c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34"/>
      <c r="S31" s="34"/>
      <c r="T31" s="34"/>
      <c r="U31" s="34"/>
      <c r="V31" s="34"/>
      <c r="W31" s="34"/>
      <c r="X31" s="34"/>
    </row>
    <row r="32" spans="1:24" s="36" customFormat="1" ht="15.75">
      <c r="A32" s="350"/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4"/>
      <c r="S32" s="34"/>
      <c r="T32" s="34"/>
      <c r="U32" s="34"/>
      <c r="V32" s="34"/>
      <c r="W32" s="34"/>
      <c r="X32" s="34"/>
    </row>
    <row r="33" spans="1:17" s="36" customFormat="1" ht="15.75">
      <c r="A33" s="484" t="s">
        <v>601</v>
      </c>
      <c r="B33" s="484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</row>
    <row r="70" spans="1:17" ht="18">
      <c r="A70" s="477"/>
      <c r="B70" s="477"/>
      <c r="C70" s="477"/>
      <c r="D70" s="477"/>
      <c r="E70" s="477"/>
      <c r="F70" s="47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</row>
  </sheetData>
  <sheetProtection/>
  <mergeCells count="18">
    <mergeCell ref="I1:Q1"/>
    <mergeCell ref="A70:Q70"/>
    <mergeCell ref="A4:E5"/>
    <mergeCell ref="A30:Q30"/>
    <mergeCell ref="A33:Q33"/>
    <mergeCell ref="A31:Q31"/>
    <mergeCell ref="Q4:Q5"/>
    <mergeCell ref="F4:F5"/>
    <mergeCell ref="G4:G5"/>
    <mergeCell ref="N4:N5"/>
    <mergeCell ref="P4:P5"/>
    <mergeCell ref="H4:H5"/>
    <mergeCell ref="I4:I5"/>
    <mergeCell ref="J4:J5"/>
    <mergeCell ref="K4:K5"/>
    <mergeCell ref="L4:L5"/>
    <mergeCell ref="M4:M5"/>
    <mergeCell ref="O4:O5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scale="43" r:id="rId2"/>
  <headerFooter alignWithMargins="0">
    <oddHeader>&amp;C
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theme="9" tint="-0.24997000396251678"/>
  </sheetPr>
  <dimension ref="A1:Q72"/>
  <sheetViews>
    <sheetView showGridLines="0" view="pageBreakPreview" zoomScale="70" zoomScaleNormal="60" zoomScaleSheetLayoutView="70" zoomScalePageLayoutView="0" workbookViewId="0" topLeftCell="A1">
      <pane xSplit="5" ySplit="4" topLeftCell="F4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55" sqref="C55"/>
    </sheetView>
  </sheetViews>
  <sheetFormatPr defaultColWidth="9.77734375" defaultRowHeight="15.75"/>
  <cols>
    <col min="1" max="4" width="2.77734375" style="4" customWidth="1"/>
    <col min="5" max="5" width="21.5546875" style="4" customWidth="1"/>
    <col min="6" max="6" width="14.99609375" style="4" customWidth="1"/>
    <col min="7" max="7" width="14.21484375" style="4" customWidth="1"/>
    <col min="8" max="8" width="15.3359375" style="4" customWidth="1"/>
    <col min="9" max="9" width="15.77734375" style="4" customWidth="1"/>
    <col min="10" max="10" width="15.5546875" style="4" customWidth="1"/>
    <col min="11" max="11" width="14.5546875" style="4" customWidth="1"/>
    <col min="12" max="12" width="15.21484375" style="4" customWidth="1"/>
    <col min="13" max="13" width="13.88671875" style="4" customWidth="1"/>
    <col min="14" max="15" width="14.3359375" style="4" customWidth="1"/>
    <col min="16" max="16" width="15.21484375" style="4" customWidth="1"/>
    <col min="17" max="17" width="9.77734375" style="8" customWidth="1"/>
    <col min="18" max="16384" width="9.77734375" style="4" customWidth="1"/>
  </cols>
  <sheetData>
    <row r="1" spans="1:16" ht="24.75" customHeight="1">
      <c r="A1" s="170" t="s">
        <v>142</v>
      </c>
      <c r="B1" s="129"/>
      <c r="C1" s="129"/>
      <c r="D1" s="129"/>
      <c r="E1" s="129"/>
      <c r="F1" s="129"/>
      <c r="G1" s="29"/>
      <c r="N1" s="50"/>
      <c r="O1" s="50"/>
      <c r="P1" s="208" t="s">
        <v>143</v>
      </c>
    </row>
    <row r="2" spans="1:16" ht="24.75" customHeight="1">
      <c r="A2" s="129" t="s">
        <v>512</v>
      </c>
      <c r="B2" s="129"/>
      <c r="C2" s="129"/>
      <c r="D2" s="129"/>
      <c r="E2" s="129"/>
      <c r="F2" s="1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7" s="10" customFormat="1" ht="24.75" customHeight="1">
      <c r="A3" s="6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2"/>
    </row>
    <row r="4" spans="1:16" ht="49.5" customHeight="1">
      <c r="A4" s="486" t="s">
        <v>64</v>
      </c>
      <c r="B4" s="486"/>
      <c r="C4" s="486"/>
      <c r="D4" s="486"/>
      <c r="E4" s="486"/>
      <c r="F4" s="190">
        <v>2003</v>
      </c>
      <c r="G4" s="190">
        <v>2004</v>
      </c>
      <c r="H4" s="190">
        <v>2005</v>
      </c>
      <c r="I4" s="190">
        <v>2006</v>
      </c>
      <c r="J4" s="190">
        <v>2007</v>
      </c>
      <c r="K4" s="190">
        <v>2008</v>
      </c>
      <c r="L4" s="190">
        <v>2009</v>
      </c>
      <c r="M4" s="190">
        <v>2010</v>
      </c>
      <c r="N4" s="190">
        <v>2011</v>
      </c>
      <c r="O4" s="190">
        <v>2012</v>
      </c>
      <c r="P4" s="190" t="s">
        <v>499</v>
      </c>
    </row>
    <row r="5" spans="1:16" ht="24.75" customHeight="1">
      <c r="A5" s="79" t="s">
        <v>144</v>
      </c>
      <c r="B5" s="84"/>
      <c r="C5" s="84"/>
      <c r="D5" s="84"/>
      <c r="E5" s="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</row>
    <row r="6" spans="1:16" ht="24.75" customHeight="1">
      <c r="A6" s="122" t="s">
        <v>145</v>
      </c>
      <c r="B6" s="79"/>
      <c r="C6" s="79"/>
      <c r="D6" s="79"/>
      <c r="E6" s="79"/>
      <c r="F6" s="185"/>
      <c r="G6" s="185"/>
      <c r="H6" s="185"/>
      <c r="I6" s="185"/>
      <c r="J6" s="185"/>
      <c r="K6" s="185"/>
      <c r="L6" s="185"/>
      <c r="M6" s="124"/>
      <c r="N6" s="124"/>
      <c r="O6" s="124"/>
      <c r="P6" s="124"/>
    </row>
    <row r="7" spans="1:16" ht="24.75" customHeight="1">
      <c r="A7" s="85"/>
      <c r="B7" s="85" t="s">
        <v>146</v>
      </c>
      <c r="C7" s="70"/>
      <c r="D7" s="70"/>
      <c r="E7" s="70"/>
      <c r="F7" s="265">
        <v>100951398</v>
      </c>
      <c r="G7" s="265">
        <v>102107393</v>
      </c>
      <c r="H7" s="265">
        <v>103263388</v>
      </c>
      <c r="I7" s="265">
        <v>105078018</v>
      </c>
      <c r="J7" s="265">
        <v>106892648</v>
      </c>
      <c r="K7" s="265">
        <v>108707278</v>
      </c>
      <c r="L7" s="265">
        <v>110521908</v>
      </c>
      <c r="M7" s="265">
        <v>112336538</v>
      </c>
      <c r="N7" s="265">
        <v>115682868</v>
      </c>
      <c r="O7" s="265">
        <v>117053750</v>
      </c>
      <c r="P7" s="265">
        <v>118395054</v>
      </c>
    </row>
    <row r="8" spans="1:16" ht="24.75" customHeight="1">
      <c r="A8" s="84"/>
      <c r="B8" s="84" t="s">
        <v>147</v>
      </c>
      <c r="C8" s="75"/>
      <c r="D8" s="75"/>
      <c r="E8" s="75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1:16" ht="24.75" customHeight="1">
      <c r="A9" s="84"/>
      <c r="B9" s="84" t="s">
        <v>3</v>
      </c>
      <c r="C9" s="75"/>
      <c r="D9" s="75"/>
      <c r="E9" s="75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</row>
    <row r="10" spans="1:16" ht="24.75" customHeight="1">
      <c r="A10" s="84"/>
      <c r="B10" s="75"/>
      <c r="C10" s="75" t="s">
        <v>148</v>
      </c>
      <c r="D10" s="75"/>
      <c r="E10" s="75"/>
      <c r="F10" s="93">
        <v>73.68</v>
      </c>
      <c r="G10" s="93">
        <v>73.8</v>
      </c>
      <c r="H10" s="93">
        <v>73.92</v>
      </c>
      <c r="I10" s="93">
        <v>74.02</v>
      </c>
      <c r="J10" s="93">
        <v>74.13</v>
      </c>
      <c r="K10" s="93">
        <v>74.03</v>
      </c>
      <c r="L10" s="93">
        <v>73.97</v>
      </c>
      <c r="M10" s="93">
        <v>73.97</v>
      </c>
      <c r="N10" s="93">
        <v>74.13</v>
      </c>
      <c r="O10" s="93">
        <v>74.27</v>
      </c>
      <c r="P10" s="93">
        <v>74.51</v>
      </c>
    </row>
    <row r="11" spans="1:16" ht="24.75" customHeight="1">
      <c r="A11" s="85"/>
      <c r="B11" s="70"/>
      <c r="C11" s="70" t="s">
        <v>304</v>
      </c>
      <c r="D11" s="70"/>
      <c r="E11" s="70"/>
      <c r="F11" s="342">
        <v>71.01</v>
      </c>
      <c r="G11" s="342">
        <v>71.15</v>
      </c>
      <c r="H11" s="342">
        <v>71.29</v>
      </c>
      <c r="I11" s="342">
        <v>71.41</v>
      </c>
      <c r="J11" s="342">
        <v>71.54</v>
      </c>
      <c r="K11" s="342">
        <v>71.31</v>
      </c>
      <c r="L11" s="342">
        <v>71.14</v>
      </c>
      <c r="M11" s="342">
        <v>71.05</v>
      </c>
      <c r="N11" s="342">
        <v>71.25</v>
      </c>
      <c r="O11" s="342">
        <v>71.4</v>
      </c>
      <c r="P11" s="342">
        <v>71.74</v>
      </c>
    </row>
    <row r="12" spans="1:16" ht="24.75" customHeight="1">
      <c r="A12" s="84"/>
      <c r="B12" s="75"/>
      <c r="C12" s="75" t="s">
        <v>149</v>
      </c>
      <c r="D12" s="75"/>
      <c r="E12" s="75"/>
      <c r="F12" s="93">
        <v>76.49</v>
      </c>
      <c r="G12" s="93">
        <v>76.59</v>
      </c>
      <c r="H12" s="93">
        <v>76.68</v>
      </c>
      <c r="I12" s="93">
        <v>76.77</v>
      </c>
      <c r="J12" s="93">
        <v>76.85</v>
      </c>
      <c r="K12" s="93">
        <v>76.89</v>
      </c>
      <c r="L12" s="93">
        <v>76.94</v>
      </c>
      <c r="M12" s="93">
        <v>77.03</v>
      </c>
      <c r="N12" s="93">
        <v>77.16</v>
      </c>
      <c r="O12" s="93">
        <v>77.28</v>
      </c>
      <c r="P12" s="93">
        <v>77.41</v>
      </c>
    </row>
    <row r="13" spans="1:16" ht="24.75" customHeight="1">
      <c r="A13" s="122" t="s">
        <v>150</v>
      </c>
      <c r="B13" s="79"/>
      <c r="C13" s="79"/>
      <c r="D13" s="79"/>
      <c r="E13" s="79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</row>
    <row r="14" spans="1:16" ht="24.75" customHeight="1">
      <c r="A14" s="85"/>
      <c r="B14" s="85" t="s">
        <v>508</v>
      </c>
      <c r="C14" s="70"/>
      <c r="D14" s="70"/>
      <c r="E14" s="70"/>
      <c r="F14" s="265">
        <v>153605</v>
      </c>
      <c r="G14" s="265">
        <v>151139</v>
      </c>
      <c r="H14" s="265">
        <v>155880</v>
      </c>
      <c r="I14" s="265">
        <v>164329</v>
      </c>
      <c r="J14" s="265">
        <v>171193</v>
      </c>
      <c r="K14" s="265">
        <v>159792</v>
      </c>
      <c r="L14" s="265">
        <v>169308</v>
      </c>
      <c r="M14" s="265">
        <v>172649</v>
      </c>
      <c r="N14" s="265">
        <v>183021</v>
      </c>
      <c r="O14" s="265" t="s">
        <v>480</v>
      </c>
      <c r="P14" s="265">
        <v>194717</v>
      </c>
    </row>
    <row r="15" spans="1:16" ht="24.75" customHeight="1">
      <c r="A15" s="84"/>
      <c r="B15" s="84" t="s">
        <v>545</v>
      </c>
      <c r="C15" s="75"/>
      <c r="D15" s="75"/>
      <c r="E15" s="75"/>
      <c r="F15" s="266">
        <v>33158212</v>
      </c>
      <c r="G15" s="266">
        <v>33579410</v>
      </c>
      <c r="H15" s="266">
        <v>34017133</v>
      </c>
      <c r="I15" s="266">
        <v>36068901</v>
      </c>
      <c r="J15" s="266">
        <v>36682252</v>
      </c>
      <c r="K15" s="266">
        <v>38172117</v>
      </c>
      <c r="L15" s="266">
        <v>37267103</v>
      </c>
      <c r="M15" s="266">
        <v>37712383</v>
      </c>
      <c r="N15" s="266">
        <v>38384507</v>
      </c>
      <c r="O15" s="266">
        <v>39792329</v>
      </c>
      <c r="P15" s="266">
        <v>40315809</v>
      </c>
    </row>
    <row r="16" spans="1:13" ht="24.75" customHeight="1">
      <c r="A16" s="122" t="s">
        <v>546</v>
      </c>
      <c r="B16" s="75"/>
      <c r="C16" s="75"/>
      <c r="D16" s="75"/>
      <c r="E16" s="75"/>
      <c r="F16" s="187"/>
      <c r="G16" s="187"/>
      <c r="H16" s="187"/>
      <c r="I16" s="187"/>
      <c r="J16" s="187"/>
      <c r="K16" s="187"/>
      <c r="L16" s="187"/>
      <c r="M16" s="187"/>
    </row>
    <row r="17" spans="1:16" ht="24.75" customHeight="1">
      <c r="A17" s="157"/>
      <c r="B17" s="85" t="s">
        <v>600</v>
      </c>
      <c r="C17" s="70"/>
      <c r="D17" s="70"/>
      <c r="E17" s="70"/>
      <c r="F17" s="188">
        <v>42030100</v>
      </c>
      <c r="G17" s="188">
        <v>42640600</v>
      </c>
      <c r="H17" s="188">
        <v>43232383</v>
      </c>
      <c r="I17" s="188">
        <v>44447032</v>
      </c>
      <c r="J17" s="188">
        <v>45621685</v>
      </c>
      <c r="K17" s="188">
        <v>45178213</v>
      </c>
      <c r="L17" s="188">
        <v>47041909</v>
      </c>
      <c r="M17" s="188">
        <v>44701044</v>
      </c>
      <c r="N17" s="188">
        <v>50273465</v>
      </c>
      <c r="O17" s="188">
        <v>51584355</v>
      </c>
      <c r="P17" s="188">
        <f>'C1 (Pág. 10)'!Q57</f>
        <v>52675784</v>
      </c>
    </row>
    <row r="18" spans="1:16" ht="24.75" customHeight="1">
      <c r="A18" s="84"/>
      <c r="B18" s="84" t="s">
        <v>509</v>
      </c>
      <c r="C18" s="84"/>
      <c r="D18" s="84"/>
      <c r="E18" s="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</row>
    <row r="19" spans="1:16" ht="24.75" customHeight="1">
      <c r="A19" s="84"/>
      <c r="B19" s="84" t="s">
        <v>34</v>
      </c>
      <c r="C19" s="84"/>
      <c r="D19" s="84"/>
      <c r="E19" s="84"/>
      <c r="F19" s="290">
        <v>3.56</v>
      </c>
      <c r="G19" s="290">
        <v>3.74</v>
      </c>
      <c r="H19" s="290">
        <v>3.13</v>
      </c>
      <c r="I19" s="290">
        <v>3.6</v>
      </c>
      <c r="J19" s="290">
        <v>3.54</v>
      </c>
      <c r="K19" s="290">
        <v>4.26</v>
      </c>
      <c r="L19" s="290">
        <v>5.33</v>
      </c>
      <c r="M19" s="290">
        <v>5.36318</v>
      </c>
      <c r="N19" s="290">
        <v>4.8483</v>
      </c>
      <c r="O19" s="290">
        <v>4.86141389186702</v>
      </c>
      <c r="P19" s="290">
        <v>4.6</v>
      </c>
    </row>
    <row r="20" spans="1:16" ht="24.75" customHeight="1">
      <c r="A20" s="84"/>
      <c r="B20" s="84" t="s">
        <v>151</v>
      </c>
      <c r="C20" s="84"/>
      <c r="D20" s="84"/>
      <c r="E20" s="84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</row>
    <row r="21" spans="1:16" ht="24.75" customHeight="1">
      <c r="A21" s="85"/>
      <c r="B21" s="85" t="s">
        <v>34</v>
      </c>
      <c r="C21" s="85"/>
      <c r="D21" s="85"/>
      <c r="E21" s="85"/>
      <c r="F21" s="291">
        <v>8.9</v>
      </c>
      <c r="G21" s="291">
        <v>9.06</v>
      </c>
      <c r="H21" s="291">
        <v>8.86</v>
      </c>
      <c r="I21" s="291">
        <v>9.74</v>
      </c>
      <c r="J21" s="291">
        <v>10.57</v>
      </c>
      <c r="K21" s="291">
        <v>10.43</v>
      </c>
      <c r="L21" s="291">
        <v>12.46</v>
      </c>
      <c r="M21" s="291">
        <v>11.19078</v>
      </c>
      <c r="N21" s="291">
        <v>11.98282</v>
      </c>
      <c r="O21" s="291">
        <v>11.303419418542695</v>
      </c>
      <c r="P21" s="291">
        <v>11.3</v>
      </c>
    </row>
    <row r="22" spans="1:16" ht="24.75" customHeight="1">
      <c r="A22" s="84"/>
      <c r="B22" s="84" t="s">
        <v>152</v>
      </c>
      <c r="C22" s="84"/>
      <c r="D22" s="84"/>
      <c r="E22" s="84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</row>
    <row r="23" spans="1:16" ht="24.75" customHeight="1">
      <c r="A23" s="84"/>
      <c r="B23" s="84" t="s">
        <v>34</v>
      </c>
      <c r="C23" s="84"/>
      <c r="D23" s="84"/>
      <c r="E23" s="84"/>
      <c r="F23" s="290">
        <v>17.06</v>
      </c>
      <c r="G23" s="290">
        <v>16.07</v>
      </c>
      <c r="H23" s="290">
        <v>13.25</v>
      </c>
      <c r="I23" s="290">
        <v>11.73</v>
      </c>
      <c r="J23" s="290">
        <v>10.81</v>
      </c>
      <c r="K23" s="290">
        <v>10.47</v>
      </c>
      <c r="L23" s="290">
        <v>11.92</v>
      </c>
      <c r="M23" s="290">
        <v>11.81948</v>
      </c>
      <c r="N23" s="290">
        <v>10.96809</v>
      </c>
      <c r="O23" s="290">
        <v>11.636068869119079</v>
      </c>
      <c r="P23" s="290">
        <v>11.9</v>
      </c>
    </row>
    <row r="24" spans="1:13" ht="24.75" customHeight="1">
      <c r="A24" s="79" t="s">
        <v>153</v>
      </c>
      <c r="B24" s="84"/>
      <c r="C24" s="84"/>
      <c r="D24" s="84"/>
      <c r="E24" s="84"/>
      <c r="F24" s="184"/>
      <c r="G24" s="184"/>
      <c r="H24" s="184"/>
      <c r="I24" s="184"/>
      <c r="J24" s="184"/>
      <c r="K24" s="184"/>
      <c r="L24" s="184"/>
      <c r="M24" s="184"/>
    </row>
    <row r="25" spans="1:13" ht="24.75" customHeight="1">
      <c r="A25" s="122" t="s">
        <v>154</v>
      </c>
      <c r="B25" s="84"/>
      <c r="C25" s="84"/>
      <c r="D25" s="84"/>
      <c r="E25" s="84"/>
      <c r="F25" s="184"/>
      <c r="G25" s="184"/>
      <c r="H25" s="184"/>
      <c r="I25" s="184"/>
      <c r="J25" s="184"/>
      <c r="K25" s="184"/>
      <c r="L25" s="184"/>
      <c r="M25" s="184"/>
    </row>
    <row r="26" spans="1:13" ht="24.75" customHeight="1">
      <c r="A26" s="122" t="s">
        <v>67</v>
      </c>
      <c r="B26" s="122"/>
      <c r="C26" s="79"/>
      <c r="D26" s="79"/>
      <c r="E26" s="79"/>
      <c r="F26" s="187"/>
      <c r="G26" s="187"/>
      <c r="H26" s="187"/>
      <c r="I26" s="187"/>
      <c r="J26" s="187"/>
      <c r="K26" s="187"/>
      <c r="L26" s="187"/>
      <c r="M26" s="187"/>
    </row>
    <row r="27" spans="1:16" ht="24.75" customHeight="1">
      <c r="A27" s="84"/>
      <c r="B27" s="84" t="s">
        <v>389</v>
      </c>
      <c r="C27" s="84"/>
      <c r="D27" s="75"/>
      <c r="E27" s="75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</row>
    <row r="28" spans="1:16" ht="24.75" customHeight="1">
      <c r="A28" s="85"/>
      <c r="B28" s="85" t="s">
        <v>29</v>
      </c>
      <c r="C28" s="85"/>
      <c r="D28" s="70"/>
      <c r="E28" s="70"/>
      <c r="F28" s="278">
        <f>+'PIB NACIONAL (2) 2008'!B7</f>
        <v>7695623.5682500005</v>
      </c>
      <c r="G28" s="278">
        <f>+'PIB NACIONAL (2) 2008'!C7</f>
        <v>8693240.003</v>
      </c>
      <c r="H28" s="278">
        <f>+'PIB NACIONAL (2) 2008'!D7</f>
        <v>9441350.139000002</v>
      </c>
      <c r="I28" s="278">
        <f>+'PIB NACIONAL (2) 2008'!E7</f>
        <v>10538114.5025</v>
      </c>
      <c r="J28" s="278">
        <f>+'PIB NACIONAL (2) 2008'!F7</f>
        <v>11403263.2925</v>
      </c>
      <c r="K28" s="278">
        <f>+'PIB NACIONAL (2) 2008'!G7</f>
        <v>12256863.467750002</v>
      </c>
      <c r="L28" s="278">
        <f>+'PIB NACIONAL (2) 2008'!H7</f>
        <v>12093889.910000002</v>
      </c>
      <c r="M28" s="278">
        <f>+'PIB NACIONAL (2) 2008'!I7</f>
        <v>13282061.033</v>
      </c>
      <c r="N28" s="278">
        <f>+'PIB NACIONAL (2) 2008'!J7</f>
        <v>14531460.619500002</v>
      </c>
      <c r="O28" s="278">
        <f>+'PIB NACIONAL (2) 2008'!K7</f>
        <v>15588097.974999998</v>
      </c>
      <c r="P28" s="278">
        <f>+'PIB NACIONAL (2) 2008'!L7</f>
        <v>16076939.686</v>
      </c>
    </row>
    <row r="29" spans="1:16" ht="24.75" customHeight="1">
      <c r="A29" s="84"/>
      <c r="B29" s="84" t="s">
        <v>155</v>
      </c>
      <c r="C29" s="84"/>
      <c r="D29" s="75"/>
      <c r="E29" s="75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</row>
    <row r="30" spans="1:16" ht="24.75" customHeight="1">
      <c r="A30" s="84"/>
      <c r="B30" s="84" t="s">
        <v>29</v>
      </c>
      <c r="C30" s="84"/>
      <c r="D30" s="75"/>
      <c r="E30" s="75"/>
      <c r="F30" s="292">
        <f>+'PIB NACIONAL (2) 2008'!B8</f>
        <v>7302409.628250001</v>
      </c>
      <c r="G30" s="292">
        <f>+'PIB NACIONAL (2) 2008'!C8</f>
        <v>8302881.136000001</v>
      </c>
      <c r="H30" s="292">
        <f>+'PIB NACIONAL (2) 2008'!D8</f>
        <v>9045646.722750003</v>
      </c>
      <c r="I30" s="292">
        <f>+'PIB NACIONAL (2) 2008'!E8</f>
        <v>10137324.3765</v>
      </c>
      <c r="J30" s="292">
        <f>+'PIB NACIONAL (2) 2008'!F8</f>
        <v>10965935.2555</v>
      </c>
      <c r="K30" s="292">
        <f>+'PIB NACIONAL (2) 2008'!G8</f>
        <v>11941199.467750002</v>
      </c>
      <c r="L30" s="292">
        <f>+'PIB NACIONAL (2) 2008'!H8</f>
        <v>11589804.693750001</v>
      </c>
      <c r="M30" s="292">
        <f>+'PIB NACIONAL (2) 2008'!I8</f>
        <v>12738678.458999999</v>
      </c>
      <c r="N30" s="292">
        <f>+'PIB NACIONAL (2) 2008'!J8</f>
        <v>14025380.381500002</v>
      </c>
      <c r="O30" s="292">
        <f>+'PIB NACIONAL (2) 2008'!K8</f>
        <v>15104901.975249998</v>
      </c>
      <c r="P30" s="292">
        <f>+'PIB NACIONAL (2) 2008'!L8</f>
        <v>15479623.007000001</v>
      </c>
    </row>
    <row r="31" spans="1:13" ht="24.75" customHeight="1">
      <c r="A31" s="122" t="s">
        <v>69</v>
      </c>
      <c r="B31" s="84"/>
      <c r="C31" s="75"/>
      <c r="D31" s="75"/>
      <c r="E31" s="75"/>
      <c r="F31" s="150"/>
      <c r="G31" s="150"/>
      <c r="H31" s="150"/>
      <c r="I31" s="150"/>
      <c r="J31" s="150"/>
      <c r="K31" s="150"/>
      <c r="L31" s="150"/>
      <c r="M31" s="150"/>
    </row>
    <row r="32" spans="1:13" ht="24.75" customHeight="1">
      <c r="A32" s="84"/>
      <c r="B32" s="84" t="s">
        <v>70</v>
      </c>
      <c r="C32" s="75"/>
      <c r="D32" s="75"/>
      <c r="E32" s="75"/>
      <c r="F32" s="150"/>
      <c r="G32" s="150"/>
      <c r="H32" s="150"/>
      <c r="I32" s="150"/>
      <c r="J32" s="150"/>
      <c r="K32" s="150"/>
      <c r="L32" s="150"/>
      <c r="M32" s="150"/>
    </row>
    <row r="33" spans="1:13" ht="24.75" customHeight="1">
      <c r="A33" s="84"/>
      <c r="B33" s="84" t="s">
        <v>60</v>
      </c>
      <c r="C33" s="75"/>
      <c r="D33" s="75"/>
      <c r="E33" s="75"/>
      <c r="F33" s="150"/>
      <c r="G33" s="150"/>
      <c r="H33" s="150"/>
      <c r="I33" s="150"/>
      <c r="J33" s="150"/>
      <c r="K33" s="150"/>
      <c r="L33" s="150"/>
      <c r="M33" s="150"/>
    </row>
    <row r="34" spans="1:16" ht="24.75" customHeight="1">
      <c r="A34" s="85"/>
      <c r="B34" s="85"/>
      <c r="C34" s="465" t="s">
        <v>495</v>
      </c>
      <c r="D34" s="465"/>
      <c r="E34" s="465"/>
      <c r="F34" s="293">
        <v>41.53</v>
      </c>
      <c r="G34" s="293">
        <v>43.297</v>
      </c>
      <c r="H34" s="293">
        <v>45.241</v>
      </c>
      <c r="I34" s="293">
        <v>47.05</v>
      </c>
      <c r="J34" s="293">
        <v>48.88</v>
      </c>
      <c r="K34" s="293">
        <v>50.84</v>
      </c>
      <c r="L34" s="293">
        <v>53.19</v>
      </c>
      <c r="M34" s="293">
        <v>55.77</v>
      </c>
      <c r="N34" s="293">
        <v>58.06</v>
      </c>
      <c r="O34" s="293">
        <v>60.75</v>
      </c>
      <c r="P34" s="293">
        <v>63.12</v>
      </c>
    </row>
    <row r="35" spans="1:16" ht="24.75" customHeight="1">
      <c r="A35" s="84"/>
      <c r="B35" s="84"/>
      <c r="C35" s="84" t="s">
        <v>156</v>
      </c>
      <c r="D35" s="84"/>
      <c r="E35" s="75"/>
      <c r="F35" s="292">
        <v>43.65</v>
      </c>
      <c r="G35" s="292">
        <v>45.24</v>
      </c>
      <c r="H35" s="292">
        <v>46.8</v>
      </c>
      <c r="I35" s="292">
        <v>48.67</v>
      </c>
      <c r="J35" s="292">
        <v>50.57</v>
      </c>
      <c r="K35" s="292">
        <v>52.59</v>
      </c>
      <c r="L35" s="292">
        <v>54.8</v>
      </c>
      <c r="M35" s="292">
        <v>57.46</v>
      </c>
      <c r="N35" s="292">
        <v>59.82</v>
      </c>
      <c r="O35" s="292">
        <v>62.33</v>
      </c>
      <c r="P35" s="292">
        <v>64.76</v>
      </c>
    </row>
    <row r="36" spans="1:16" ht="24.75" customHeight="1">
      <c r="A36" s="85"/>
      <c r="B36" s="85"/>
      <c r="C36" s="85" t="s">
        <v>157</v>
      </c>
      <c r="D36" s="85"/>
      <c r="E36" s="70"/>
      <c r="F36" s="293">
        <v>41.85</v>
      </c>
      <c r="G36" s="293">
        <v>43.73</v>
      </c>
      <c r="H36" s="293">
        <v>45.35</v>
      </c>
      <c r="I36" s="293">
        <v>47.16</v>
      </c>
      <c r="J36" s="293">
        <v>49</v>
      </c>
      <c r="K36" s="293">
        <v>50.96</v>
      </c>
      <c r="L36" s="293">
        <v>53.26</v>
      </c>
      <c r="M36" s="293">
        <v>55.84</v>
      </c>
      <c r="N36" s="293">
        <v>58.13</v>
      </c>
      <c r="O36" s="293">
        <v>59.08</v>
      </c>
      <c r="P36" s="293">
        <v>61.38</v>
      </c>
    </row>
    <row r="37" spans="1:16" ht="24.75" customHeight="1">
      <c r="A37" s="84"/>
      <c r="B37" s="84"/>
      <c r="C37" s="84" t="s">
        <v>587</v>
      </c>
      <c r="D37" s="84"/>
      <c r="E37" s="75"/>
      <c r="F37" s="292">
        <v>40.3</v>
      </c>
      <c r="G37" s="292">
        <v>42.11</v>
      </c>
      <c r="H37" s="292">
        <v>44.05</v>
      </c>
      <c r="I37" s="292">
        <v>45.81</v>
      </c>
      <c r="J37" s="292">
        <v>47.6</v>
      </c>
      <c r="K37" s="292">
        <v>49.5</v>
      </c>
      <c r="L37" s="292">
        <v>51.95</v>
      </c>
      <c r="M37" s="292">
        <v>54.47</v>
      </c>
      <c r="N37" s="292">
        <v>56.7</v>
      </c>
      <c r="O37" s="333" t="s">
        <v>439</v>
      </c>
      <c r="P37" s="333" t="s">
        <v>439</v>
      </c>
    </row>
    <row r="38" spans="1:13" ht="24.75" customHeight="1">
      <c r="A38" s="122" t="s">
        <v>74</v>
      </c>
      <c r="B38" s="84"/>
      <c r="C38" s="75"/>
      <c r="D38" s="75"/>
      <c r="E38" s="75"/>
      <c r="F38" s="150"/>
      <c r="G38" s="150"/>
      <c r="H38" s="150"/>
      <c r="I38" s="150"/>
      <c r="J38" s="150"/>
      <c r="K38" s="150"/>
      <c r="L38" s="150"/>
      <c r="M38" s="150"/>
    </row>
    <row r="39" spans="1:13" ht="24.75" customHeight="1">
      <c r="A39" s="84"/>
      <c r="B39" s="84" t="s">
        <v>158</v>
      </c>
      <c r="C39" s="84"/>
      <c r="D39" s="84"/>
      <c r="E39" s="84"/>
      <c r="F39" s="152"/>
      <c r="G39" s="152"/>
      <c r="H39" s="152"/>
      <c r="I39" s="152"/>
      <c r="J39" s="152"/>
      <c r="K39" s="152"/>
      <c r="L39" s="152"/>
      <c r="M39" s="152"/>
    </row>
    <row r="40" spans="1:16" ht="24.75" customHeight="1">
      <c r="A40" s="85"/>
      <c r="B40" s="85" t="s">
        <v>29</v>
      </c>
      <c r="C40" s="85"/>
      <c r="D40" s="85"/>
      <c r="E40" s="85"/>
      <c r="F40" s="293">
        <f>F41+F42</f>
        <v>1808521.6</v>
      </c>
      <c r="G40" s="293">
        <f aca="true" t="shared" si="0" ref="G40:M40">G41+G42</f>
        <v>1906451.6</v>
      </c>
      <c r="H40" s="293">
        <f t="shared" si="0"/>
        <v>1950948.7000000002</v>
      </c>
      <c r="I40" s="293">
        <f t="shared" si="0"/>
        <v>2226728.7</v>
      </c>
      <c r="J40" s="293">
        <f t="shared" si="0"/>
        <v>2461929.7</v>
      </c>
      <c r="K40" s="293">
        <f t="shared" si="0"/>
        <v>3125164.4000000004</v>
      </c>
      <c r="L40" s="293">
        <f t="shared" si="0"/>
        <v>4017817</v>
      </c>
      <c r="M40" s="293">
        <f t="shared" si="0"/>
        <v>4326771.4</v>
      </c>
      <c r="N40" s="293">
        <v>5075573.8</v>
      </c>
      <c r="O40" s="293">
        <v>5496800.2</v>
      </c>
      <c r="P40" s="293">
        <v>6166829.5</v>
      </c>
    </row>
    <row r="41" spans="1:16" ht="24.75" customHeight="1">
      <c r="A41" s="84"/>
      <c r="B41" s="84"/>
      <c r="C41" s="84" t="s">
        <v>475</v>
      </c>
      <c r="D41" s="84"/>
      <c r="E41" s="75"/>
      <c r="F41" s="292">
        <v>1028158.2</v>
      </c>
      <c r="G41" s="292">
        <v>1112894.1</v>
      </c>
      <c r="H41" s="292">
        <v>1253497.6</v>
      </c>
      <c r="I41" s="292">
        <v>1696536</v>
      </c>
      <c r="J41" s="292">
        <v>1921029</v>
      </c>
      <c r="K41" s="292">
        <v>2425233.1</v>
      </c>
      <c r="L41" s="292">
        <v>2847771.9</v>
      </c>
      <c r="M41" s="292">
        <v>3057836</v>
      </c>
      <c r="N41" s="292">
        <v>3446808.6</v>
      </c>
      <c r="O41" s="292">
        <v>3861092.4</v>
      </c>
      <c r="P41" s="292">
        <v>4408878.5</v>
      </c>
    </row>
    <row r="42" spans="1:16" ht="24.75" customHeight="1">
      <c r="A42" s="85"/>
      <c r="B42" s="85"/>
      <c r="C42" s="85" t="s">
        <v>476</v>
      </c>
      <c r="D42" s="85"/>
      <c r="E42" s="70"/>
      <c r="F42" s="293">
        <v>780363.4</v>
      </c>
      <c r="G42" s="293">
        <v>793557.5</v>
      </c>
      <c r="H42" s="293">
        <v>697451.1</v>
      </c>
      <c r="I42" s="293">
        <v>530192.7</v>
      </c>
      <c r="J42" s="293">
        <v>540900.7</v>
      </c>
      <c r="K42" s="293">
        <v>699931.3</v>
      </c>
      <c r="L42" s="293">
        <v>1170045.1</v>
      </c>
      <c r="M42" s="293">
        <v>1268935.4</v>
      </c>
      <c r="N42" s="293">
        <v>1628765.2</v>
      </c>
      <c r="O42" s="293">
        <v>1635707.8</v>
      </c>
      <c r="P42" s="293">
        <v>1757951</v>
      </c>
    </row>
    <row r="43" spans="1:16" ht="24.75" customHeight="1">
      <c r="A43" s="84"/>
      <c r="B43" s="84" t="s">
        <v>160</v>
      </c>
      <c r="C43" s="75"/>
      <c r="D43" s="75"/>
      <c r="E43" s="75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</row>
    <row r="44" spans="1:16" ht="24.75" customHeight="1">
      <c r="A44" s="84"/>
      <c r="B44" s="84" t="s">
        <v>29</v>
      </c>
      <c r="C44" s="75"/>
      <c r="D44" s="75"/>
      <c r="E44" s="75"/>
      <c r="F44" s="292">
        <f>F45+F46</f>
        <v>1600589.8</v>
      </c>
      <c r="G44" s="292">
        <f aca="true" t="shared" si="1" ref="G44:M44">G45+G46</f>
        <v>1771314.2000000002</v>
      </c>
      <c r="H44" s="292">
        <f t="shared" si="1"/>
        <v>1947816.3</v>
      </c>
      <c r="I44" s="292">
        <f t="shared" si="1"/>
        <v>2263602.5</v>
      </c>
      <c r="J44" s="292">
        <f t="shared" si="1"/>
        <v>2485785.1</v>
      </c>
      <c r="K44" s="292">
        <f t="shared" si="1"/>
        <v>2860926.4</v>
      </c>
      <c r="L44" s="292">
        <f t="shared" si="1"/>
        <v>2817185.5</v>
      </c>
      <c r="M44" s="292">
        <f t="shared" si="1"/>
        <v>2960443</v>
      </c>
      <c r="N44" s="292">
        <v>3271080</v>
      </c>
      <c r="O44" s="292">
        <v>3514529.5</v>
      </c>
      <c r="P44" s="292">
        <v>3800415.6</v>
      </c>
    </row>
    <row r="45" spans="1:16" ht="24.75" customHeight="1">
      <c r="A45" s="85"/>
      <c r="B45" s="85"/>
      <c r="C45" s="85" t="s">
        <v>161</v>
      </c>
      <c r="D45" s="85"/>
      <c r="E45" s="85"/>
      <c r="F45" s="293">
        <v>1132985.1</v>
      </c>
      <c r="G45" s="293">
        <v>1270211.1</v>
      </c>
      <c r="H45" s="293">
        <v>1412505</v>
      </c>
      <c r="I45" s="293">
        <v>1558808</v>
      </c>
      <c r="J45" s="293">
        <v>1711220.6</v>
      </c>
      <c r="K45" s="293">
        <v>2049936.3</v>
      </c>
      <c r="L45" s="293">
        <v>2000448.1</v>
      </c>
      <c r="M45" s="293">
        <v>2080013</v>
      </c>
      <c r="N45" s="293">
        <v>2320241.7</v>
      </c>
      <c r="O45" s="293">
        <v>2452533.8</v>
      </c>
      <c r="P45" s="293">
        <v>2703575.2</v>
      </c>
    </row>
    <row r="46" spans="1:16" ht="24.75" customHeight="1">
      <c r="A46" s="84"/>
      <c r="B46" s="84"/>
      <c r="C46" s="84" t="s">
        <v>162</v>
      </c>
      <c r="D46" s="84"/>
      <c r="E46" s="75"/>
      <c r="F46" s="292">
        <v>467604.7</v>
      </c>
      <c r="G46" s="292">
        <v>501103.1</v>
      </c>
      <c r="H46" s="292">
        <v>535311.3</v>
      </c>
      <c r="I46" s="292">
        <v>704794.5</v>
      </c>
      <c r="J46" s="292">
        <v>774564.5</v>
      </c>
      <c r="K46" s="292">
        <v>810990.1</v>
      </c>
      <c r="L46" s="292">
        <v>816737.4</v>
      </c>
      <c r="M46" s="292">
        <v>880430</v>
      </c>
      <c r="N46" s="292">
        <v>950838.3</v>
      </c>
      <c r="O46" s="292">
        <v>1061995.8</v>
      </c>
      <c r="P46" s="292">
        <v>1096840.4</v>
      </c>
    </row>
    <row r="47" spans="1:16" ht="24.75" customHeight="1">
      <c r="A47" s="84"/>
      <c r="B47" s="84" t="s">
        <v>163</v>
      </c>
      <c r="C47" s="84"/>
      <c r="D47" s="84"/>
      <c r="E47" s="84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</row>
    <row r="48" spans="1:16" ht="24.75" customHeight="1">
      <c r="A48" s="85"/>
      <c r="B48" s="85" t="s">
        <v>29</v>
      </c>
      <c r="C48" s="85"/>
      <c r="D48" s="85"/>
      <c r="E48" s="85"/>
      <c r="F48" s="293">
        <f>F49+F50</f>
        <v>1670796.3</v>
      </c>
      <c r="G48" s="293">
        <f aca="true" t="shared" si="2" ref="G48:N48">G49+G50</f>
        <v>1802610.2</v>
      </c>
      <c r="H48" s="293">
        <f t="shared" si="2"/>
        <v>1979808</v>
      </c>
      <c r="I48" s="293">
        <f t="shared" si="2"/>
        <v>2270558.7</v>
      </c>
      <c r="J48" s="293">
        <f t="shared" si="2"/>
        <v>2498977.8</v>
      </c>
      <c r="K48" s="293">
        <f t="shared" si="2"/>
        <v>2894806.5</v>
      </c>
      <c r="L48" s="293">
        <f t="shared" si="2"/>
        <v>3114065.4000000004</v>
      </c>
      <c r="M48" s="293">
        <f t="shared" si="2"/>
        <v>3355288</v>
      </c>
      <c r="N48" s="293">
        <f t="shared" si="2"/>
        <v>3622363</v>
      </c>
      <c r="O48" s="293">
        <f>O49+O50</f>
        <v>3894086.3</v>
      </c>
      <c r="P48" s="293">
        <f>SUM(P49:P50)</f>
        <v>4162098</v>
      </c>
    </row>
    <row r="49" spans="1:16" ht="24.75" customHeight="1">
      <c r="A49" s="84"/>
      <c r="B49" s="84"/>
      <c r="C49" s="84" t="s">
        <v>83</v>
      </c>
      <c r="D49" s="84"/>
      <c r="E49" s="75"/>
      <c r="F49" s="292">
        <v>1241853.3</v>
      </c>
      <c r="G49" s="292">
        <v>1326952.4</v>
      </c>
      <c r="H49" s="292">
        <v>1477368.1</v>
      </c>
      <c r="I49" s="292">
        <v>1671174.6</v>
      </c>
      <c r="J49" s="292">
        <v>1911320.8</v>
      </c>
      <c r="K49" s="292">
        <v>2229154.5</v>
      </c>
      <c r="L49" s="292">
        <v>2459609.7</v>
      </c>
      <c r="M49" s="292">
        <v>2640625.2</v>
      </c>
      <c r="N49" s="292">
        <v>2884915.8</v>
      </c>
      <c r="O49" s="292">
        <v>3122058.3</v>
      </c>
      <c r="P49" s="292">
        <v>3343528.7</v>
      </c>
    </row>
    <row r="50" spans="1:16" ht="24.75" customHeight="1">
      <c r="A50" s="85"/>
      <c r="B50" s="85"/>
      <c r="C50" s="85" t="s">
        <v>135</v>
      </c>
      <c r="D50" s="85"/>
      <c r="E50" s="70"/>
      <c r="F50" s="278">
        <v>428943</v>
      </c>
      <c r="G50" s="278">
        <v>475657.8</v>
      </c>
      <c r="H50" s="278">
        <v>502439.9</v>
      </c>
      <c r="I50" s="278">
        <v>599384.1</v>
      </c>
      <c r="J50" s="278">
        <v>587657</v>
      </c>
      <c r="K50" s="278">
        <v>665652</v>
      </c>
      <c r="L50" s="278">
        <v>654455.7</v>
      </c>
      <c r="M50" s="278">
        <v>714662.8</v>
      </c>
      <c r="N50" s="278">
        <v>737447.2</v>
      </c>
      <c r="O50" s="278">
        <v>772028</v>
      </c>
      <c r="P50" s="278">
        <v>818569.3</v>
      </c>
    </row>
    <row r="51" spans="1:16" ht="24.75" customHeight="1">
      <c r="A51" s="84"/>
      <c r="B51" s="84" t="s">
        <v>442</v>
      </c>
      <c r="C51" s="75"/>
      <c r="D51" s="75"/>
      <c r="E51" s="75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</row>
    <row r="52" spans="1:16" ht="24.75" customHeight="1">
      <c r="A52" s="85"/>
      <c r="B52" s="85" t="s">
        <v>29</v>
      </c>
      <c r="C52" s="70"/>
      <c r="D52" s="70"/>
      <c r="E52" s="70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 t="s">
        <v>18</v>
      </c>
    </row>
    <row r="53" spans="1:16" ht="24.75" customHeight="1">
      <c r="A53" s="84"/>
      <c r="B53" s="84"/>
      <c r="C53" s="84" t="s">
        <v>679</v>
      </c>
      <c r="D53" s="84"/>
      <c r="E53" s="75"/>
      <c r="F53" s="277">
        <v>-41944.5</v>
      </c>
      <c r="G53" s="277">
        <v>-17817.2</v>
      </c>
      <c r="H53" s="277">
        <v>-11904.3</v>
      </c>
      <c r="I53" s="277">
        <v>9109.6</v>
      </c>
      <c r="J53" s="277">
        <v>7410.8</v>
      </c>
      <c r="K53" s="277">
        <v>-11051.9</v>
      </c>
      <c r="L53" s="277">
        <v>-271147.3</v>
      </c>
      <c r="M53" s="277">
        <v>-366992.3</v>
      </c>
      <c r="N53" s="277">
        <v>-357409.8</v>
      </c>
      <c r="O53" s="277">
        <v>-400648.5</v>
      </c>
      <c r="P53" s="277">
        <v>-371261.9</v>
      </c>
    </row>
    <row r="54" spans="1:16" ht="24.75" customHeight="1">
      <c r="A54" s="85"/>
      <c r="B54" s="85"/>
      <c r="C54" s="85" t="s">
        <v>680</v>
      </c>
      <c r="D54" s="85"/>
      <c r="E54" s="70"/>
      <c r="F54" s="267">
        <v>148809.1</v>
      </c>
      <c r="G54" s="267">
        <v>189012</v>
      </c>
      <c r="H54" s="267">
        <v>198281.2</v>
      </c>
      <c r="I54" s="267">
        <v>259174.6</v>
      </c>
      <c r="J54" s="267">
        <v>246366.8</v>
      </c>
      <c r="K54" s="267">
        <v>216060.7</v>
      </c>
      <c r="L54" s="267">
        <v>-8334.8</v>
      </c>
      <c r="M54" s="267">
        <v>-111237.2</v>
      </c>
      <c r="N54" s="267">
        <v>-83478.5</v>
      </c>
      <c r="O54" s="267">
        <v>-95529.9</v>
      </c>
      <c r="P54" s="278">
        <v>-56710.5</v>
      </c>
    </row>
    <row r="55" ht="24.75" customHeight="1">
      <c r="A55" s="106" t="s">
        <v>25</v>
      </c>
    </row>
    <row r="56" ht="10.5" customHeight="1">
      <c r="A56" s="21"/>
    </row>
    <row r="57" spans="1:16" ht="18">
      <c r="A57" s="477"/>
      <c r="B57" s="477"/>
      <c r="C57" s="477"/>
      <c r="D57" s="477"/>
      <c r="E57" s="477"/>
      <c r="F57" s="477"/>
      <c r="G57" s="477"/>
      <c r="H57" s="477"/>
      <c r="I57" s="477"/>
      <c r="J57" s="477"/>
      <c r="K57" s="477"/>
      <c r="L57" s="477"/>
      <c r="M57" s="477"/>
      <c r="N57" s="477"/>
      <c r="O57" s="477"/>
      <c r="P57" s="477"/>
    </row>
    <row r="58" spans="1:13" ht="15">
      <c r="A58" s="10"/>
      <c r="B58" s="10"/>
      <c r="C58" s="10"/>
      <c r="D58" s="10"/>
      <c r="E58" s="10"/>
      <c r="F58" s="3"/>
      <c r="G58" s="3"/>
      <c r="H58" s="3"/>
      <c r="I58" s="3"/>
      <c r="J58" s="3"/>
      <c r="K58" s="3"/>
      <c r="L58" s="3"/>
      <c r="M58" s="3"/>
    </row>
    <row r="59" spans="1:13" ht="15">
      <c r="A59" s="10"/>
      <c r="B59" s="10"/>
      <c r="C59" s="10"/>
      <c r="D59" s="10"/>
      <c r="E59" s="10"/>
      <c r="F59" s="3"/>
      <c r="G59" s="3"/>
      <c r="H59" s="3"/>
      <c r="I59" s="3"/>
      <c r="J59" s="3"/>
      <c r="K59" s="3"/>
      <c r="L59" s="3"/>
      <c r="M59" s="3"/>
    </row>
    <row r="60" spans="1:13" ht="15">
      <c r="A60" s="10"/>
      <c r="B60" s="10"/>
      <c r="C60" s="10"/>
      <c r="D60" s="10"/>
      <c r="E60" s="10"/>
      <c r="F60" s="3"/>
      <c r="G60" s="3"/>
      <c r="H60" s="3"/>
      <c r="I60" s="3"/>
      <c r="J60" s="3"/>
      <c r="K60" s="3"/>
      <c r="L60" s="3"/>
      <c r="M60" s="3"/>
    </row>
    <row r="61" spans="1:13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</sheetData>
  <sheetProtection/>
  <mergeCells count="3">
    <mergeCell ref="A4:E4"/>
    <mergeCell ref="A57:P57"/>
    <mergeCell ref="C34:E34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scale="43" r:id="rId2"/>
  <headerFooter alignWithMargins="0">
    <oddHeader>&amp;C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Agenda 2011</dc:title>
  <dc:subject/>
  <dc:creator>Ing. Roberto Garciamoreno Salgado</dc:creator>
  <cp:keywords>Formulas</cp:keywords>
  <dc:description/>
  <cp:lastModifiedBy>Falcowork</cp:lastModifiedBy>
  <cp:lastPrinted>2014-11-24T17:55:32Z</cp:lastPrinted>
  <dcterms:created xsi:type="dcterms:W3CDTF">1999-05-14T22:35:26Z</dcterms:created>
  <dcterms:modified xsi:type="dcterms:W3CDTF">2015-03-04T23:51:06Z</dcterms:modified>
  <cp:category>Cuadros</cp:category>
  <cp:version/>
  <cp:contentType/>
  <cp:contentStatus/>
</cp:coreProperties>
</file>